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mc:AlternateContent xmlns:mc="http://schemas.openxmlformats.org/markup-compatibility/2006">
    <mc:Choice Requires="x15">
      <x15ac:absPath xmlns:x15ac="http://schemas.microsoft.com/office/spreadsheetml/2010/11/ac" url="W:\TRANSAC\2025\497-2025\WORK IN PROGRESS\497-2025\"/>
    </mc:Choice>
  </mc:AlternateContent>
  <xr:revisionPtr revIDLastSave="0" documentId="8_{0427DC9F-A13D-4DC4-9AAC-EDE3079B4B05}" xr6:coauthVersionLast="36" xr6:coauthVersionMax="36" xr10:uidLastSave="{00000000-0000-0000-0000-000000000000}"/>
  <bookViews>
    <workbookView xWindow="0" yWindow="0" windowWidth="23040" windowHeight="8940" activeTab="14" xr2:uid="{CBC98D50-4C34-4B7C-A3E6-6F1900A47957}"/>
  </bookViews>
  <sheets>
    <sheet name="Instructions" sheetId="22" r:id="rId1"/>
    <sheet name="B Price Form Summary" sheetId="11" r:id="rId2"/>
    <sheet name="B Meter and Radio Assumptions" sheetId="46" r:id="rId3"/>
    <sheet name="B1 Water Meter Supply" sheetId="13" r:id="rId4"/>
    <sheet name="B1A - Mtr Qty by Year" sheetId="41" r:id="rId5"/>
    <sheet name="B2 AMI Network &amp; Radio" sheetId="21" r:id="rId6"/>
    <sheet name="B2A Radio Qty by Year" sheetId="44" r:id="rId7"/>
    <sheet name="B3 Software Impl &amp; Training" sheetId="9" r:id="rId8"/>
    <sheet name="B4 Product Supply for City Use " sheetId="14" r:id="rId9"/>
    <sheet name="B4A City Use Qty by Year" sheetId="43" r:id="rId10"/>
    <sheet name="B5 Year 1 SaaS&amp;AMI Network Srv" sheetId="4" r:id="rId11"/>
    <sheet name="B5A Radio Qty Per Year" sheetId="45" r:id="rId12"/>
    <sheet name="B6 Life Cycle Cost" sheetId="12" r:id="rId13"/>
    <sheet name="B6A Radio Qty Per Year" sheetId="47" r:id="rId14"/>
    <sheet name="B7 Optional" sheetId="40" r:id="rId15"/>
    <sheet name="Sheet3" sheetId="16" state="hidden" r:id="rId16"/>
    <sheet name="Sheet1" sheetId="8" state="hidden" r:id="rId17"/>
    <sheet name="Lookups" sheetId="6" state="hidden" r:id="rId18"/>
  </sheets>
  <definedNames>
    <definedName name="_Toc500164511" localSheetId="3">'B1 Water Meter Supply'!$C$23</definedName>
    <definedName name="_Toc500164511" localSheetId="5">'B2 AMI Network &amp; Radio'!$C$30</definedName>
    <definedName name="_Toc500164511" localSheetId="7">'B3 Software Impl &amp; Training'!$C$20</definedName>
    <definedName name="_Toc500164511" localSheetId="8">'B4 Product Supply for City Use '!$C$29</definedName>
    <definedName name="_xlnm.Print_Area" localSheetId="1">'B Price Form Summary'!$A$1:$I$82</definedName>
    <definedName name="_xlnm.Print_Area" localSheetId="3">'B1 Water Meter Supply'!$A$1:$H$32</definedName>
    <definedName name="_xlnm.Print_Area" localSheetId="5">'B2 AMI Network &amp; Radio'!$A$1:$K$39</definedName>
    <definedName name="_xlnm.Print_Area" localSheetId="7">'B3 Software Impl &amp; Training'!$A$1:$J$29</definedName>
    <definedName name="_xlnm.Print_Area" localSheetId="8">'B4 Product Supply for City Use '!$A$1:$M$38</definedName>
    <definedName name="_xlnm.Print_Area" localSheetId="10">'B5 Year 1 SaaS&amp;AMI Network Srv'!$A$1:$S$24</definedName>
    <definedName name="_xlnm.Print_Area" localSheetId="12">'B6 Life Cycle Cost'!$A$8:$K$64</definedName>
    <definedName name="_xlnm.Print_Area" localSheetId="0">Instructions!$A$1:$A$97</definedName>
    <definedName name="_xlnm.Print_Titles" localSheetId="1">'B Price Form Summary'!$1:$4</definedName>
    <definedName name="_xlnm.Print_Titles" localSheetId="3">'B1 Water Meter Supply'!$1:$6</definedName>
    <definedName name="_xlnm.Print_Titles" localSheetId="5">'B2 AMI Network &amp; Radio'!$1:$6</definedName>
    <definedName name="_xlnm.Print_Titles" localSheetId="7">'B3 Software Impl &amp; Training'!$1:$6</definedName>
    <definedName name="_xlnm.Print_Titles" localSheetId="8">'B4 Product Supply for City Use '!$1:$6</definedName>
    <definedName name="_xlnm.Print_Titles" localSheetId="10">'B5 Year 1 SaaS&amp;AMI Network Srv'!$1:$5</definedName>
    <definedName name="_xlnm.Print_Titles" localSheetId="12">'B6 Life Cycle Cost'!$A:$A,'B6 Life Cycle Cost'!$1:$7</definedName>
    <definedName name="_xlnm.Print_Titles" localSheetId="14">'B7 Optional'!$1:$5</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8" i="41" l="1"/>
  <c r="K20" i="13" s="1"/>
  <c r="I18" i="41"/>
  <c r="J20" i="13" s="1"/>
  <c r="H18" i="41"/>
  <c r="I20" i="13" s="1"/>
  <c r="G18" i="41"/>
  <c r="H20" i="13" s="1"/>
  <c r="F18" i="41"/>
  <c r="K18" i="41" l="1"/>
  <c r="G20" i="13"/>
  <c r="L19" i="13"/>
  <c r="F157" i="12" l="1"/>
  <c r="F158" i="12"/>
  <c r="F156" i="12"/>
  <c r="F142" i="12"/>
  <c r="F141" i="12"/>
  <c r="K10" i="4" l="1"/>
  <c r="M10" i="4" s="1"/>
  <c r="O10" i="4" s="1"/>
  <c r="Q10" i="4" s="1"/>
  <c r="S10" i="4" s="1"/>
  <c r="E31" i="11"/>
  <c r="N9" i="21" l="1"/>
  <c r="K8" i="44"/>
  <c r="L15" i="13"/>
  <c r="L16" i="13"/>
  <c r="L17" i="13"/>
  <c r="L18" i="13"/>
  <c r="S9" i="4"/>
  <c r="Q9" i="4"/>
  <c r="O9" i="4"/>
  <c r="M9" i="4"/>
  <c r="K9" i="4"/>
  <c r="E136" i="12" s="1"/>
  <c r="G10" i="44"/>
  <c r="H10" i="44"/>
  <c r="I10" i="44"/>
  <c r="J10" i="44"/>
  <c r="F10" i="44"/>
  <c r="H109" i="12" l="1"/>
  <c r="H110" i="12" s="1"/>
  <c r="H111" i="12" s="1"/>
  <c r="H112" i="12" s="1"/>
  <c r="H113" i="12" s="1"/>
  <c r="H77" i="12"/>
  <c r="H78" i="12" s="1"/>
  <c r="H79" i="12" s="1"/>
  <c r="H80" i="12" s="1"/>
  <c r="H81" i="12" s="1"/>
  <c r="H48" i="12"/>
  <c r="H49" i="12" s="1"/>
  <c r="H50" i="12" s="1"/>
  <c r="H51" i="12" s="1"/>
  <c r="E12" i="47"/>
  <c r="E13" i="47"/>
  <c r="E11" i="47"/>
  <c r="J29" i="47"/>
  <c r="J28" i="47" s="1"/>
  <c r="I29" i="47"/>
  <c r="I28" i="47" s="1"/>
  <c r="H29" i="47"/>
  <c r="G29" i="47"/>
  <c r="F29" i="47"/>
  <c r="H28" i="47"/>
  <c r="G28" i="47"/>
  <c r="F28" i="47"/>
  <c r="K27" i="47"/>
  <c r="K26" i="47"/>
  <c r="K25" i="47"/>
  <c r="K24" i="47"/>
  <c r="K23" i="47"/>
  <c r="K22" i="47"/>
  <c r="K21" i="47"/>
  <c r="K20" i="47"/>
  <c r="K29" i="47" s="1"/>
  <c r="K19" i="47"/>
  <c r="K18" i="47"/>
  <c r="K17" i="47"/>
  <c r="K16" i="47"/>
  <c r="E29" i="11" l="1"/>
  <c r="G7" i="47" l="1"/>
  <c r="H7" i="47"/>
  <c r="I7" i="47"/>
  <c r="J7" i="47"/>
  <c r="F7" i="47"/>
  <c r="H6" i="47"/>
  <c r="J6" i="47"/>
  <c r="G6" i="47"/>
  <c r="I6" i="47"/>
  <c r="F6" i="47"/>
  <c r="K9" i="47"/>
  <c r="E3" i="47"/>
  <c r="E2" i="47"/>
  <c r="E1" i="47"/>
  <c r="G144" i="12"/>
  <c r="H144" i="12" s="1"/>
  <c r="I144" i="12" s="1"/>
  <c r="J144" i="12" s="1"/>
  <c r="K144" i="12" s="1"/>
  <c r="L144" i="12" s="1"/>
  <c r="M144" i="12" s="1"/>
  <c r="N144" i="12" s="1"/>
  <c r="O144" i="12" s="1"/>
  <c r="P144" i="12" s="1"/>
  <c r="Q144" i="12" s="1"/>
  <c r="R144" i="12" s="1"/>
  <c r="S144" i="12" s="1"/>
  <c r="T144" i="12" s="1"/>
  <c r="U144" i="12" s="1"/>
  <c r="V144" i="12" s="1"/>
  <c r="W144" i="12" s="1"/>
  <c r="X144" i="12" s="1"/>
  <c r="G8" i="21"/>
  <c r="G7" i="21"/>
  <c r="K110" i="12"/>
  <c r="F153" i="12" s="1"/>
  <c r="K111" i="12"/>
  <c r="K112" i="12"/>
  <c r="K113" i="12"/>
  <c r="K109" i="12"/>
  <c r="E153" i="12" s="1"/>
  <c r="I153" i="12" l="1"/>
  <c r="H153" i="12"/>
  <c r="G153" i="12"/>
  <c r="E3" i="46" l="1"/>
  <c r="E2" i="46"/>
  <c r="E1" i="46"/>
  <c r="K17" i="41"/>
  <c r="L8" i="13"/>
  <c r="K7" i="41"/>
  <c r="H41" i="12" s="1"/>
  <c r="I41" i="12" s="1"/>
  <c r="K41" i="12" s="1"/>
  <c r="Z22" i="41"/>
  <c r="Y22" i="41"/>
  <c r="X22" i="41"/>
  <c r="W22" i="41"/>
  <c r="V22" i="41"/>
  <c r="AA22" i="41" l="1"/>
  <c r="N2" i="45" l="1"/>
  <c r="O2" i="45"/>
  <c r="M2" i="45"/>
  <c r="F136" i="12" l="1"/>
  <c r="P12" i="4"/>
  <c r="R12" i="4"/>
  <c r="N12" i="4"/>
  <c r="L12" i="4"/>
  <c r="H7" i="21" l="1"/>
  <c r="H6" i="44" l="1"/>
  <c r="J6" i="44"/>
  <c r="F6" i="44"/>
  <c r="I6" i="44"/>
  <c r="G6" i="44"/>
  <c r="K9" i="45"/>
  <c r="E3" i="45"/>
  <c r="E2" i="45"/>
  <c r="E1" i="45"/>
  <c r="K6" i="47" l="1"/>
  <c r="M13" i="21"/>
  <c r="M14" i="21"/>
  <c r="M15" i="21"/>
  <c r="M16" i="21"/>
  <c r="M17" i="21"/>
  <c r="M18" i="21"/>
  <c r="M19" i="21"/>
  <c r="M20" i="21"/>
  <c r="M21" i="21"/>
  <c r="M22" i="21"/>
  <c r="M23" i="21"/>
  <c r="M24" i="21"/>
  <c r="M25" i="21"/>
  <c r="M26" i="21"/>
  <c r="J13" i="21"/>
  <c r="J14" i="21"/>
  <c r="J15" i="21"/>
  <c r="J16" i="21"/>
  <c r="J17" i="21"/>
  <c r="J18" i="21"/>
  <c r="J19" i="21"/>
  <c r="J20" i="21"/>
  <c r="J21" i="21"/>
  <c r="J22" i="21"/>
  <c r="N22" i="21" s="1"/>
  <c r="J23" i="21"/>
  <c r="J24" i="21"/>
  <c r="J25" i="21"/>
  <c r="J26" i="21"/>
  <c r="M12" i="21"/>
  <c r="J12" i="21"/>
  <c r="K10" i="44"/>
  <c r="M22" i="14"/>
  <c r="M23" i="14"/>
  <c r="M24" i="14"/>
  <c r="M17" i="14"/>
  <c r="M18" i="14"/>
  <c r="M19" i="14"/>
  <c r="M20" i="14"/>
  <c r="M21" i="14"/>
  <c r="M8" i="14"/>
  <c r="M9" i="14"/>
  <c r="M10" i="14"/>
  <c r="M11" i="14"/>
  <c r="M12" i="14"/>
  <c r="M13" i="14"/>
  <c r="M14" i="14"/>
  <c r="M15" i="14"/>
  <c r="M16" i="14"/>
  <c r="M7" i="14"/>
  <c r="K16" i="43"/>
  <c r="K17" i="43"/>
  <c r="K18" i="43"/>
  <c r="K19" i="43"/>
  <c r="K20" i="43"/>
  <c r="K21" i="43"/>
  <c r="K22" i="43"/>
  <c r="K23" i="43"/>
  <c r="E2" i="44"/>
  <c r="E3" i="44"/>
  <c r="E1" i="44"/>
  <c r="K10" i="43"/>
  <c r="K9" i="43"/>
  <c r="K8" i="43"/>
  <c r="K6" i="43"/>
  <c r="E3" i="43"/>
  <c r="E2" i="43"/>
  <c r="E1" i="43"/>
  <c r="N14" i="21" l="1"/>
  <c r="N12" i="21"/>
  <c r="N23" i="21"/>
  <c r="N20" i="21"/>
  <c r="N17" i="21"/>
  <c r="N26" i="21"/>
  <c r="N24" i="21"/>
  <c r="N15" i="21"/>
  <c r="N13" i="21"/>
  <c r="N19" i="21"/>
  <c r="N18" i="21"/>
  <c r="N25" i="21"/>
  <c r="N21" i="21"/>
  <c r="N16" i="21"/>
  <c r="K13" i="43"/>
  <c r="K11" i="43"/>
  <c r="K14" i="43"/>
  <c r="K15" i="43"/>
  <c r="K12" i="43"/>
  <c r="K7" i="43"/>
  <c r="H8" i="21" l="1"/>
  <c r="H21" i="12" l="1"/>
  <c r="H7" i="45"/>
  <c r="I7" i="45"/>
  <c r="J7" i="45"/>
  <c r="H8" i="47"/>
  <c r="F7" i="45"/>
  <c r="K11" i="4" s="1"/>
  <c r="E138" i="12" s="1"/>
  <c r="G7" i="45"/>
  <c r="G7" i="44"/>
  <c r="J7" i="44"/>
  <c r="J8" i="47"/>
  <c r="G8" i="47"/>
  <c r="H7" i="44"/>
  <c r="I8" i="47"/>
  <c r="I7" i="44"/>
  <c r="F7" i="44"/>
  <c r="Y32" i="41"/>
  <c r="Z32" i="41"/>
  <c r="X32" i="41"/>
  <c r="W32" i="41"/>
  <c r="V32" i="41"/>
  <c r="Y23" i="41"/>
  <c r="Y24" i="41"/>
  <c r="Z25" i="41"/>
  <c r="Z26" i="41"/>
  <c r="Z27" i="41"/>
  <c r="W28" i="41"/>
  <c r="V29" i="41"/>
  <c r="Y30" i="41"/>
  <c r="X31" i="41"/>
  <c r="X21" i="41"/>
  <c r="N8" i="21" l="1"/>
  <c r="K7" i="47"/>
  <c r="K8" i="47" s="1"/>
  <c r="F8" i="47"/>
  <c r="H17" i="12" s="1"/>
  <c r="H18" i="12" s="1"/>
  <c r="H19" i="12" s="1"/>
  <c r="H20" i="12" s="1"/>
  <c r="Z24" i="41"/>
  <c r="X29" i="41"/>
  <c r="Z23" i="41"/>
  <c r="X28" i="41"/>
  <c r="Y21" i="41"/>
  <c r="V31" i="41"/>
  <c r="Y29" i="41"/>
  <c r="V23" i="41"/>
  <c r="V28" i="41"/>
  <c r="Y28" i="41"/>
  <c r="V25" i="41"/>
  <c r="S33" i="41"/>
  <c r="V24" i="41"/>
  <c r="Z31" i="41"/>
  <c r="W26" i="41"/>
  <c r="W25" i="41"/>
  <c r="Y27" i="41"/>
  <c r="V26" i="41"/>
  <c r="W24" i="41"/>
  <c r="X26" i="41"/>
  <c r="Y26" i="41"/>
  <c r="Z29" i="41"/>
  <c r="Y31" i="41"/>
  <c r="V27" i="41"/>
  <c r="W27" i="41"/>
  <c r="X27" i="41"/>
  <c r="Z30" i="41"/>
  <c r="W31" i="41"/>
  <c r="W23" i="41"/>
  <c r="X25" i="41"/>
  <c r="Y25" i="41"/>
  <c r="Z28" i="41"/>
  <c r="W30" i="41"/>
  <c r="X24" i="41"/>
  <c r="V21" i="41"/>
  <c r="V30" i="41"/>
  <c r="W29" i="41"/>
  <c r="X23" i="41"/>
  <c r="W21" i="41"/>
  <c r="X30" i="41"/>
  <c r="Z21" i="41"/>
  <c r="R33" i="41"/>
  <c r="H19" i="41" l="1"/>
  <c r="I19" i="41"/>
  <c r="F19" i="41"/>
  <c r="G19" i="41"/>
  <c r="J19" i="41"/>
  <c r="Y33" i="41"/>
  <c r="Z33" i="41"/>
  <c r="W33" i="41"/>
  <c r="X33" i="41"/>
  <c r="L12" i="13"/>
  <c r="L9" i="13" l="1"/>
  <c r="L10" i="13"/>
  <c r="L11" i="13"/>
  <c r="L13" i="13"/>
  <c r="L14" i="13"/>
  <c r="L7" i="13"/>
  <c r="L20" i="13" l="1"/>
  <c r="I7" i="11" s="1"/>
  <c r="K13" i="41" l="1"/>
  <c r="H101" i="12" s="1"/>
  <c r="I101" i="12" s="1"/>
  <c r="K14" i="41"/>
  <c r="H102" i="12" s="1"/>
  <c r="I102" i="12" s="1"/>
  <c r="K102" i="12" s="1"/>
  <c r="K15" i="41"/>
  <c r="H103" i="12" s="1"/>
  <c r="I103" i="12" s="1"/>
  <c r="K103" i="12" s="1"/>
  <c r="K16" i="41"/>
  <c r="H104" i="12" s="1"/>
  <c r="I104" i="12" s="1"/>
  <c r="K104" i="12" s="1"/>
  <c r="K8" i="41"/>
  <c r="K9" i="41"/>
  <c r="K10" i="41"/>
  <c r="H72" i="12" s="1"/>
  <c r="I72" i="12" s="1"/>
  <c r="K11" i="41"/>
  <c r="H73" i="12" s="1"/>
  <c r="I73" i="12" s="1"/>
  <c r="K73" i="12" s="1"/>
  <c r="K12" i="41"/>
  <c r="H100" i="12" s="1"/>
  <c r="I100" i="12" s="1"/>
  <c r="K100" i="12" s="1"/>
  <c r="K72" i="12" l="1"/>
  <c r="K74" i="12" s="1"/>
  <c r="H95" i="12"/>
  <c r="H91" i="12"/>
  <c r="H94" i="12"/>
  <c r="H83" i="12"/>
  <c r="H82" i="12"/>
  <c r="H89" i="12"/>
  <c r="H92" i="12"/>
  <c r="H84" i="12"/>
  <c r="H87" i="12"/>
  <c r="H90" i="12"/>
  <c r="H86" i="12"/>
  <c r="H96" i="12"/>
  <c r="H88" i="12"/>
  <c r="H93" i="12"/>
  <c r="H85" i="12"/>
  <c r="H117" i="12"/>
  <c r="H128" i="12"/>
  <c r="H127" i="12"/>
  <c r="H120" i="12"/>
  <c r="H125" i="12"/>
  <c r="H123" i="12"/>
  <c r="H124" i="12"/>
  <c r="H126" i="12"/>
  <c r="H115" i="12"/>
  <c r="H121" i="12"/>
  <c r="H122" i="12"/>
  <c r="H118" i="12"/>
  <c r="K101" i="12"/>
  <c r="K105" i="12" s="1"/>
  <c r="H116" i="12"/>
  <c r="H114" i="12"/>
  <c r="H119" i="12"/>
  <c r="H43" i="12"/>
  <c r="H42" i="12"/>
  <c r="Q9" i="41" l="1"/>
  <c r="E3" i="41"/>
  <c r="E2" i="41"/>
  <c r="E1" i="41"/>
  <c r="K6" i="41"/>
  <c r="K19" i="41" l="1"/>
  <c r="H40" i="12"/>
  <c r="I6" i="45" l="1"/>
  <c r="G6" i="45"/>
  <c r="F6" i="45"/>
  <c r="H6" i="45"/>
  <c r="J6" i="45"/>
  <c r="K6" i="45" l="1"/>
  <c r="N7" i="21"/>
  <c r="K6" i="44"/>
  <c r="E137" i="12" l="1"/>
  <c r="A4" i="21"/>
  <c r="A27" i="21" s="1"/>
  <c r="E36" i="11"/>
  <c r="E19" i="11"/>
  <c r="E11" i="11"/>
  <c r="F137" i="12" l="1"/>
  <c r="G137" i="12"/>
  <c r="K28" i="21"/>
  <c r="I137" i="12" l="1"/>
  <c r="J137" i="12" s="1"/>
  <c r="K137" i="12" s="1"/>
  <c r="L137" i="12" s="1"/>
  <c r="M137" i="12" s="1"/>
  <c r="N137" i="12" s="1"/>
  <c r="O137" i="12" s="1"/>
  <c r="P137" i="12" s="1"/>
  <c r="Q137" i="12" s="1"/>
  <c r="R137" i="12" s="1"/>
  <c r="S137" i="12" s="1"/>
  <c r="T137" i="12" s="1"/>
  <c r="U137" i="12" s="1"/>
  <c r="V137" i="12" s="1"/>
  <c r="W137" i="12" s="1"/>
  <c r="X137" i="12" s="1"/>
  <c r="H137" i="12"/>
  <c r="G132" i="12"/>
  <c r="I43" i="12"/>
  <c r="K43" i="12" s="1"/>
  <c r="I42" i="12"/>
  <c r="K42" i="12" s="1"/>
  <c r="I40" i="12"/>
  <c r="J8" i="40"/>
  <c r="H132" i="12" l="1"/>
  <c r="I128" i="12"/>
  <c r="I120" i="12"/>
  <c r="I112" i="12"/>
  <c r="H149" i="12" s="1"/>
  <c r="I125" i="12"/>
  <c r="I117" i="12"/>
  <c r="I109" i="12"/>
  <c r="E149" i="12" s="1"/>
  <c r="I119" i="12"/>
  <c r="I111" i="12"/>
  <c r="G149" i="12" s="1"/>
  <c r="I126" i="12"/>
  <c r="I123" i="12"/>
  <c r="I122" i="12"/>
  <c r="I114" i="12"/>
  <c r="I127" i="12"/>
  <c r="I118" i="12"/>
  <c r="I115" i="12"/>
  <c r="I124" i="12"/>
  <c r="I116" i="12"/>
  <c r="I121" i="12"/>
  <c r="I113" i="12"/>
  <c r="I149" i="12" s="1"/>
  <c r="K40" i="12"/>
  <c r="K44" i="12" s="1"/>
  <c r="I94" i="12"/>
  <c r="I86" i="12"/>
  <c r="I78" i="12"/>
  <c r="I91" i="12"/>
  <c r="I83" i="12"/>
  <c r="I81" i="12"/>
  <c r="I96" i="12"/>
  <c r="I88" i="12"/>
  <c r="I80" i="12"/>
  <c r="I93" i="12"/>
  <c r="I85" i="12"/>
  <c r="I77" i="12"/>
  <c r="I89" i="12"/>
  <c r="I90" i="12"/>
  <c r="I82" i="12"/>
  <c r="I95" i="12"/>
  <c r="I87" i="12"/>
  <c r="I79" i="12"/>
  <c r="I92" i="12"/>
  <c r="I84" i="12"/>
  <c r="J8" i="45"/>
  <c r="I8" i="45"/>
  <c r="H8" i="45"/>
  <c r="G8" i="45"/>
  <c r="H9" i="44"/>
  <c r="I9" i="44"/>
  <c r="J9" i="44"/>
  <c r="I49" i="12"/>
  <c r="F147" i="12" s="1"/>
  <c r="H64" i="12"/>
  <c r="I64" i="12" s="1"/>
  <c r="U147" i="12" s="1"/>
  <c r="H56" i="12"/>
  <c r="I56" i="12" s="1"/>
  <c r="M147" i="12" s="1"/>
  <c r="H63" i="12"/>
  <c r="I63" i="12" s="1"/>
  <c r="T147" i="12" s="1"/>
  <c r="H54" i="12"/>
  <c r="I54" i="12" s="1"/>
  <c r="K147" i="12" s="1"/>
  <c r="H65" i="12"/>
  <c r="I65" i="12" s="1"/>
  <c r="V147" i="12" s="1"/>
  <c r="H62" i="12"/>
  <c r="I62" i="12" s="1"/>
  <c r="S147" i="12" s="1"/>
  <c r="H61" i="12"/>
  <c r="I61" i="12" s="1"/>
  <c r="R147" i="12" s="1"/>
  <c r="H53" i="12"/>
  <c r="I53" i="12" s="1"/>
  <c r="J147" i="12" s="1"/>
  <c r="H57" i="12"/>
  <c r="I57" i="12" s="1"/>
  <c r="N147" i="12" s="1"/>
  <c r="I48" i="12"/>
  <c r="E147" i="12" s="1"/>
  <c r="H60" i="12"/>
  <c r="I60" i="12" s="1"/>
  <c r="Q147" i="12" s="1"/>
  <c r="H52" i="12"/>
  <c r="I52" i="12" s="1"/>
  <c r="I147" i="12" s="1"/>
  <c r="H55" i="12"/>
  <c r="I55" i="12" s="1"/>
  <c r="L147" i="12" s="1"/>
  <c r="H59" i="12"/>
  <c r="I59" i="12" s="1"/>
  <c r="P147" i="12" s="1"/>
  <c r="H67" i="12"/>
  <c r="I67" i="12" s="1"/>
  <c r="X147" i="12" s="1"/>
  <c r="I51" i="12"/>
  <c r="H147" i="12" s="1"/>
  <c r="H66" i="12"/>
  <c r="I66" i="12" s="1"/>
  <c r="W147" i="12" s="1"/>
  <c r="H58" i="12"/>
  <c r="I58" i="12" s="1"/>
  <c r="O147" i="12" s="1"/>
  <c r="I50" i="12"/>
  <c r="G147" i="12" s="1"/>
  <c r="I132" i="12"/>
  <c r="K127" i="12" l="1"/>
  <c r="W153" i="12" s="1"/>
  <c r="W149" i="12"/>
  <c r="K117" i="12"/>
  <c r="M153" i="12" s="1"/>
  <c r="M149" i="12"/>
  <c r="K114" i="12"/>
  <c r="J153" i="12" s="1"/>
  <c r="J149" i="12"/>
  <c r="K125" i="12"/>
  <c r="U153" i="12" s="1"/>
  <c r="U149" i="12"/>
  <c r="K118" i="12"/>
  <c r="N153" i="12" s="1"/>
  <c r="N149" i="12"/>
  <c r="K122" i="12"/>
  <c r="R153" i="12" s="1"/>
  <c r="R149" i="12"/>
  <c r="K121" i="12"/>
  <c r="Q153" i="12" s="1"/>
  <c r="Q149" i="12"/>
  <c r="K123" i="12"/>
  <c r="S153" i="12" s="1"/>
  <c r="S149" i="12"/>
  <c r="K120" i="12"/>
  <c r="P153" i="12" s="1"/>
  <c r="P149" i="12"/>
  <c r="K115" i="12"/>
  <c r="K153" i="12" s="1"/>
  <c r="K149" i="12"/>
  <c r="K116" i="12"/>
  <c r="L153" i="12" s="1"/>
  <c r="L149" i="12"/>
  <c r="K126" i="12"/>
  <c r="V153" i="12" s="1"/>
  <c r="V149" i="12"/>
  <c r="K128" i="12"/>
  <c r="X153" i="12" s="1"/>
  <c r="X149" i="12"/>
  <c r="K119" i="12"/>
  <c r="O153" i="12" s="1"/>
  <c r="O149" i="12"/>
  <c r="K124" i="12"/>
  <c r="T153" i="12" s="1"/>
  <c r="T149" i="12"/>
  <c r="K91" i="12"/>
  <c r="S152" i="12" s="1"/>
  <c r="S148" i="12"/>
  <c r="K92" i="12"/>
  <c r="T152" i="12" s="1"/>
  <c r="T148" i="12"/>
  <c r="K85" i="12"/>
  <c r="M152" i="12" s="1"/>
  <c r="M148" i="12"/>
  <c r="K84" i="12"/>
  <c r="L152" i="12" s="1"/>
  <c r="L148" i="12"/>
  <c r="K87" i="12"/>
  <c r="O152" i="12" s="1"/>
  <c r="O148" i="12"/>
  <c r="K94" i="12"/>
  <c r="V152" i="12" s="1"/>
  <c r="V148" i="12"/>
  <c r="K93" i="12"/>
  <c r="U152" i="12" s="1"/>
  <c r="U148" i="12"/>
  <c r="K95" i="12"/>
  <c r="W152" i="12" s="1"/>
  <c r="W148" i="12"/>
  <c r="K88" i="12"/>
  <c r="P152" i="12" s="1"/>
  <c r="P148" i="12"/>
  <c r="K86" i="12"/>
  <c r="N152" i="12" s="1"/>
  <c r="N148" i="12"/>
  <c r="K82" i="12"/>
  <c r="J152" i="12" s="1"/>
  <c r="J148" i="12"/>
  <c r="K96" i="12"/>
  <c r="X152" i="12" s="1"/>
  <c r="X148" i="12"/>
  <c r="K90" i="12"/>
  <c r="R152" i="12" s="1"/>
  <c r="R148" i="12"/>
  <c r="K89" i="12"/>
  <c r="Q152" i="12" s="1"/>
  <c r="Q148" i="12"/>
  <c r="K83" i="12"/>
  <c r="K152" i="12" s="1"/>
  <c r="K148" i="12"/>
  <c r="K79" i="12"/>
  <c r="G152" i="12" s="1"/>
  <c r="G148" i="12"/>
  <c r="K80" i="12"/>
  <c r="H152" i="12" s="1"/>
  <c r="H148" i="12"/>
  <c r="K81" i="12"/>
  <c r="I152" i="12" s="1"/>
  <c r="I148" i="12"/>
  <c r="K78" i="12"/>
  <c r="F152" i="12" s="1"/>
  <c r="F148" i="12"/>
  <c r="K77" i="12"/>
  <c r="E152" i="12" s="1"/>
  <c r="E148" i="12"/>
  <c r="G9" i="44"/>
  <c r="M11" i="4"/>
  <c r="O11" i="4" s="1"/>
  <c r="Q11" i="4" s="1"/>
  <c r="S11" i="4" s="1"/>
  <c r="K7" i="45"/>
  <c r="F8" i="45"/>
  <c r="K7" i="44"/>
  <c r="K9" i="44" s="1"/>
  <c r="F9" i="44"/>
  <c r="K49" i="12"/>
  <c r="K57" i="12"/>
  <c r="K65" i="12"/>
  <c r="K59" i="12"/>
  <c r="K62" i="12"/>
  <c r="K63" i="12"/>
  <c r="K50" i="12"/>
  <c r="K58" i="12"/>
  <c r="K66" i="12"/>
  <c r="K51" i="12"/>
  <c r="K67" i="12"/>
  <c r="K55" i="12"/>
  <c r="K52" i="12"/>
  <c r="K60" i="12"/>
  <c r="K48" i="12"/>
  <c r="K61" i="12"/>
  <c r="K54" i="12"/>
  <c r="K64" i="12"/>
  <c r="K53" i="12"/>
  <c r="K56" i="12"/>
  <c r="J132" i="12"/>
  <c r="K8" i="45" l="1"/>
  <c r="H11" i="4"/>
  <c r="K8" i="4"/>
  <c r="K7" i="4"/>
  <c r="F138" i="12"/>
  <c r="J151" i="12"/>
  <c r="K132" i="12"/>
  <c r="M7" i="4" l="1"/>
  <c r="F134" i="12" s="1"/>
  <c r="E134" i="12"/>
  <c r="E135" i="12"/>
  <c r="M8" i="4"/>
  <c r="O8" i="4" s="1"/>
  <c r="G138" i="12"/>
  <c r="K151" i="12"/>
  <c r="L132" i="12"/>
  <c r="O7" i="4" l="1"/>
  <c r="Q7" i="4" s="1"/>
  <c r="F135" i="12"/>
  <c r="M12" i="4"/>
  <c r="Q8" i="4"/>
  <c r="G135" i="12"/>
  <c r="G134" i="12"/>
  <c r="I138" i="12"/>
  <c r="J138" i="12" s="1"/>
  <c r="H138" i="12"/>
  <c r="L151" i="12"/>
  <c r="M132" i="12"/>
  <c r="K138" i="12" l="1"/>
  <c r="L138" i="12" s="1"/>
  <c r="M138" i="12" s="1"/>
  <c r="N138" i="12" s="1"/>
  <c r="O138" i="12" s="1"/>
  <c r="P138" i="12" s="1"/>
  <c r="Q138" i="12" s="1"/>
  <c r="R138" i="12" s="1"/>
  <c r="S138" i="12" s="1"/>
  <c r="T138" i="12" s="1"/>
  <c r="U138" i="12" s="1"/>
  <c r="V138" i="12" s="1"/>
  <c r="W138" i="12" s="1"/>
  <c r="X138" i="12" s="1"/>
  <c r="S7" i="4"/>
  <c r="I134" i="12" s="1"/>
  <c r="J134" i="12" s="1"/>
  <c r="K134" i="12" s="1"/>
  <c r="L134" i="12" s="1"/>
  <c r="M134" i="12" s="1"/>
  <c r="N134" i="12" s="1"/>
  <c r="O134" i="12" s="1"/>
  <c r="P134" i="12" s="1"/>
  <c r="Q134" i="12" s="1"/>
  <c r="R134" i="12" s="1"/>
  <c r="S134" i="12" s="1"/>
  <c r="T134" i="12" s="1"/>
  <c r="U134" i="12" s="1"/>
  <c r="V134" i="12" s="1"/>
  <c r="W134" i="12" s="1"/>
  <c r="X134" i="12" s="1"/>
  <c r="H134" i="12"/>
  <c r="S8" i="4"/>
  <c r="I135" i="12" s="1"/>
  <c r="J135" i="12" s="1"/>
  <c r="K135" i="12" s="1"/>
  <c r="L135" i="12" s="1"/>
  <c r="M135" i="12" s="1"/>
  <c r="N135" i="12" s="1"/>
  <c r="O135" i="12" s="1"/>
  <c r="P135" i="12" s="1"/>
  <c r="Q135" i="12" s="1"/>
  <c r="R135" i="12" s="1"/>
  <c r="S135" i="12" s="1"/>
  <c r="T135" i="12" s="1"/>
  <c r="U135" i="12" s="1"/>
  <c r="V135" i="12" s="1"/>
  <c r="W135" i="12" s="1"/>
  <c r="X135" i="12" s="1"/>
  <c r="H135" i="12"/>
  <c r="M151" i="12"/>
  <c r="N132" i="12"/>
  <c r="N151" i="12" l="1"/>
  <c r="O132" i="12"/>
  <c r="O151" i="12" l="1"/>
  <c r="P132" i="12"/>
  <c r="P151" i="12" l="1"/>
  <c r="Q132" i="12"/>
  <c r="Q151" i="12" l="1"/>
  <c r="R132" i="12"/>
  <c r="R151" i="12" l="1"/>
  <c r="S132" i="12"/>
  <c r="S151" i="12" l="1"/>
  <c r="T132" i="12"/>
  <c r="T151" i="12" l="1"/>
  <c r="U132" i="12"/>
  <c r="U151" i="12" l="1"/>
  <c r="V132" i="12"/>
  <c r="V151" i="12" l="1"/>
  <c r="W132" i="12"/>
  <c r="W151" i="12" l="1"/>
  <c r="X132" i="12"/>
  <c r="X151" i="12" l="1"/>
  <c r="E21" i="11"/>
  <c r="I52" i="11" l="1"/>
  <c r="I64" i="11"/>
  <c r="I51" i="11"/>
  <c r="I47" i="11"/>
  <c r="I46" i="11"/>
  <c r="I45" i="11"/>
  <c r="I44" i="11"/>
  <c r="I43" i="11"/>
  <c r="A4" i="40"/>
  <c r="A14" i="40" l="1"/>
  <c r="J15" i="40"/>
  <c r="E3" i="40"/>
  <c r="E2" i="40"/>
  <c r="E1" i="40"/>
  <c r="J13" i="40"/>
  <c r="J12" i="40"/>
  <c r="J11" i="40"/>
  <c r="J10" i="40"/>
  <c r="J9" i="40"/>
  <c r="J7" i="40"/>
  <c r="J14" i="40" l="1"/>
  <c r="I35" i="11" s="1"/>
  <c r="E54" i="11" l="1"/>
  <c r="I54" i="11" l="1"/>
  <c r="F8" i="12" l="1"/>
  <c r="I9" i="4" l="1"/>
  <c r="I10" i="4"/>
  <c r="H9" i="12" l="1"/>
  <c r="H8" i="12" l="1"/>
  <c r="I8" i="12" s="1"/>
  <c r="I9" i="12"/>
  <c r="E1" i="13" l="1"/>
  <c r="E3" i="21"/>
  <c r="E3" i="4"/>
  <c r="E1" i="4"/>
  <c r="E3" i="14"/>
  <c r="E1" i="14"/>
  <c r="E3" i="12"/>
  <c r="E1" i="12"/>
  <c r="E2" i="12"/>
  <c r="E2" i="14"/>
  <c r="E2" i="4"/>
  <c r="F9" i="12" l="1"/>
  <c r="E1" i="9" l="1"/>
  <c r="E2" i="9"/>
  <c r="E3" i="9"/>
  <c r="E1" i="21"/>
  <c r="E2" i="13"/>
  <c r="E3" i="13"/>
  <c r="E58" i="11" l="1"/>
  <c r="E60" i="11" s="1"/>
  <c r="E65" i="11"/>
  <c r="E67" i="11" s="1"/>
  <c r="E48" i="11"/>
  <c r="I65" i="11" l="1"/>
  <c r="I66" i="11" s="1"/>
  <c r="I67" i="11" s="1"/>
  <c r="E2" i="21" l="1"/>
  <c r="I53" i="11" l="1"/>
  <c r="H33" i="12" l="1"/>
  <c r="I33" i="12" s="1"/>
  <c r="I7" i="4"/>
  <c r="I19" i="12"/>
  <c r="H22" i="12"/>
  <c r="I22" i="12" s="1"/>
  <c r="I11" i="4"/>
  <c r="H24" i="12"/>
  <c r="I24" i="12" s="1"/>
  <c r="H27" i="12"/>
  <c r="I27" i="12" s="1"/>
  <c r="H30" i="12"/>
  <c r="I30" i="12" s="1"/>
  <c r="H32" i="12"/>
  <c r="I32" i="12" s="1"/>
  <c r="I18" i="12"/>
  <c r="H35" i="12"/>
  <c r="I35" i="12" s="1"/>
  <c r="I21" i="12"/>
  <c r="I8" i="4"/>
  <c r="H26" i="12"/>
  <c r="I26" i="12" s="1"/>
  <c r="H29" i="12"/>
  <c r="I29" i="12" s="1"/>
  <c r="I20" i="12"/>
  <c r="H23" i="12"/>
  <c r="I23" i="12" s="1"/>
  <c r="H34" i="12"/>
  <c r="I34" i="12" s="1"/>
  <c r="H31" i="12"/>
  <c r="I31" i="12" s="1"/>
  <c r="I17" i="12"/>
  <c r="H28" i="12"/>
  <c r="I28" i="12" s="1"/>
  <c r="H25" i="12"/>
  <c r="I25" i="12" s="1"/>
  <c r="H36" i="12"/>
  <c r="I36" i="12" s="1"/>
  <c r="R146" i="12" l="1"/>
  <c r="R145" i="12"/>
  <c r="O145" i="12"/>
  <c r="O146" i="12"/>
  <c r="L146" i="12"/>
  <c r="L145" i="12"/>
  <c r="X145" i="12"/>
  <c r="X146" i="12"/>
  <c r="Q145" i="12"/>
  <c r="Q146" i="12"/>
  <c r="W146" i="12"/>
  <c r="W145" i="12"/>
  <c r="N146" i="12"/>
  <c r="N145" i="12"/>
  <c r="M146" i="12"/>
  <c r="M145" i="12"/>
  <c r="P145" i="12"/>
  <c r="P146" i="12"/>
  <c r="S146" i="12"/>
  <c r="S145" i="12"/>
  <c r="V146" i="12"/>
  <c r="V145" i="12"/>
  <c r="K146" i="12"/>
  <c r="K145" i="12"/>
  <c r="U145" i="12"/>
  <c r="U146" i="12"/>
  <c r="T146" i="12"/>
  <c r="T145" i="12"/>
  <c r="I146" i="12"/>
  <c r="I145" i="12"/>
  <c r="G145" i="12"/>
  <c r="G146" i="12"/>
  <c r="E145" i="12"/>
  <c r="E146" i="12"/>
  <c r="H146" i="12"/>
  <c r="H145" i="12"/>
  <c r="J146" i="12"/>
  <c r="J145" i="12"/>
  <c r="F146" i="12"/>
  <c r="F145" i="12"/>
  <c r="A4" i="14"/>
  <c r="J26" i="14" l="1"/>
  <c r="A25" i="14"/>
  <c r="I36" i="11"/>
  <c r="I37" i="11" l="1"/>
  <c r="A4" i="13" l="1"/>
  <c r="A20" i="13" l="1"/>
  <c r="A21" i="13"/>
  <c r="K9" i="12"/>
  <c r="K8" i="12"/>
  <c r="A12" i="4" l="1"/>
  <c r="K10" i="12"/>
  <c r="A4" i="9"/>
  <c r="E38" i="11"/>
  <c r="A17" i="9" l="1"/>
  <c r="J18" i="9"/>
  <c r="F151" i="12"/>
  <c r="E151" i="12"/>
  <c r="H151" i="12"/>
  <c r="G151" i="12"/>
  <c r="I151" i="12"/>
  <c r="E158" i="12" l="1"/>
  <c r="I28" i="11" s="1"/>
  <c r="I38" i="11"/>
  <c r="M25" i="14" l="1"/>
  <c r="I10" i="11" s="1"/>
  <c r="I48" i="11"/>
  <c r="I58" i="11" s="1"/>
  <c r="J16" i="9" l="1"/>
  <c r="J15" i="9"/>
  <c r="J14" i="9"/>
  <c r="J13" i="9"/>
  <c r="J12" i="9"/>
  <c r="J11" i="9"/>
  <c r="J10" i="9"/>
  <c r="J9" i="9"/>
  <c r="J8" i="9"/>
  <c r="J7" i="9"/>
  <c r="J17" i="9" l="1"/>
  <c r="I9" i="11" s="1"/>
  <c r="O12" i="4" l="1"/>
  <c r="G136" i="12"/>
  <c r="K25" i="12"/>
  <c r="M150" i="12" s="1"/>
  <c r="M154" i="12" s="1"/>
  <c r="M155" i="12" s="1"/>
  <c r="K32" i="12"/>
  <c r="T150" i="12" s="1"/>
  <c r="T154" i="12" s="1"/>
  <c r="T155" i="12" s="1"/>
  <c r="K19" i="12"/>
  <c r="G150" i="12" s="1"/>
  <c r="G154" i="12" s="1"/>
  <c r="G155" i="12" s="1"/>
  <c r="K21" i="12"/>
  <c r="I150" i="12" s="1"/>
  <c r="I154" i="12" s="1"/>
  <c r="I155" i="12" s="1"/>
  <c r="K31" i="12"/>
  <c r="S150" i="12" s="1"/>
  <c r="S154" i="12" s="1"/>
  <c r="S155" i="12" s="1"/>
  <c r="K33" i="12"/>
  <c r="U150" i="12" s="1"/>
  <c r="U154" i="12" s="1"/>
  <c r="U155" i="12" s="1"/>
  <c r="K24" i="12"/>
  <c r="L150" i="12" s="1"/>
  <c r="L154" i="12" s="1"/>
  <c r="L155" i="12" s="1"/>
  <c r="K27" i="12"/>
  <c r="O150" i="12" s="1"/>
  <c r="O154" i="12" s="1"/>
  <c r="O155" i="12" s="1"/>
  <c r="K20" i="12"/>
  <c r="H150" i="12" s="1"/>
  <c r="H154" i="12" s="1"/>
  <c r="H155" i="12" s="1"/>
  <c r="Q12" i="4" l="1"/>
  <c r="H136" i="12"/>
  <c r="I136" i="12"/>
  <c r="K18" i="12"/>
  <c r="F150" i="12" s="1"/>
  <c r="K17" i="12"/>
  <c r="K26" i="12"/>
  <c r="N150" i="12" s="1"/>
  <c r="N154" i="12" s="1"/>
  <c r="N155" i="12" s="1"/>
  <c r="K30" i="12"/>
  <c r="R150" i="12" s="1"/>
  <c r="R154" i="12" s="1"/>
  <c r="R155" i="12" s="1"/>
  <c r="K28" i="12"/>
  <c r="P150" i="12" s="1"/>
  <c r="P154" i="12" s="1"/>
  <c r="P155" i="12" s="1"/>
  <c r="K35" i="12"/>
  <c r="W150" i="12" s="1"/>
  <c r="W154" i="12" s="1"/>
  <c r="W155" i="12" s="1"/>
  <c r="K34" i="12"/>
  <c r="V150" i="12" s="1"/>
  <c r="V154" i="12" s="1"/>
  <c r="V155" i="12" s="1"/>
  <c r="K22" i="12"/>
  <c r="J150" i="12" s="1"/>
  <c r="J154" i="12" s="1"/>
  <c r="J155" i="12" s="1"/>
  <c r="K23" i="12"/>
  <c r="K150" i="12" s="1"/>
  <c r="K154" i="12" s="1"/>
  <c r="K155" i="12" s="1"/>
  <c r="K29" i="12"/>
  <c r="Q150" i="12" s="1"/>
  <c r="Q154" i="12" s="1"/>
  <c r="Q155" i="12" s="1"/>
  <c r="K36" i="12"/>
  <c r="X150" i="12" s="1"/>
  <c r="X154" i="12" s="1"/>
  <c r="X155" i="12" s="1"/>
  <c r="J136" i="12" l="1"/>
  <c r="K136" i="12" s="1"/>
  <c r="L136" i="12" s="1"/>
  <c r="M136" i="12" s="1"/>
  <c r="N136" i="12" s="1"/>
  <c r="O136" i="12" s="1"/>
  <c r="P136" i="12" s="1"/>
  <c r="Q136" i="12" s="1"/>
  <c r="R136" i="12" s="1"/>
  <c r="S136" i="12" s="1"/>
  <c r="T136" i="12" s="1"/>
  <c r="U136" i="12" s="1"/>
  <c r="V136" i="12" s="1"/>
  <c r="W136" i="12" s="1"/>
  <c r="X136" i="12" s="1"/>
  <c r="E150" i="12"/>
  <c r="E154" i="12" l="1"/>
  <c r="E155" i="12" s="1"/>
  <c r="E157" i="12"/>
  <c r="I27" i="11" s="1"/>
  <c r="J139" i="12"/>
  <c r="E139" i="12"/>
  <c r="J140" i="12" l="1"/>
  <c r="E140" i="12"/>
  <c r="K12" i="4"/>
  <c r="F139" i="12" l="1"/>
  <c r="G139" i="12"/>
  <c r="G140" i="12" l="1"/>
  <c r="F140" i="12"/>
  <c r="H139" i="12"/>
  <c r="Q139" i="12" l="1"/>
  <c r="Q140" i="12" s="1"/>
  <c r="H140" i="12"/>
  <c r="I59" i="11"/>
  <c r="I60" i="11" s="1"/>
  <c r="S12" i="4" l="1"/>
  <c r="I139" i="12"/>
  <c r="E141" i="12" l="1"/>
  <c r="I14" i="11" s="1"/>
  <c r="I140" i="12"/>
  <c r="K139" i="12" l="1"/>
  <c r="K140" i="12" l="1"/>
  <c r="L139" i="12"/>
  <c r="L140" i="12" l="1"/>
  <c r="M139" i="12"/>
  <c r="M140" i="12" l="1"/>
  <c r="N139" i="12"/>
  <c r="N140" i="12" l="1"/>
  <c r="O139" i="12"/>
  <c r="O140" i="12" l="1"/>
  <c r="P139" i="12"/>
  <c r="P140" i="12" l="1"/>
  <c r="R139" i="12" l="1"/>
  <c r="R140" i="12" l="1"/>
  <c r="S139" i="12"/>
  <c r="S140" i="12" l="1"/>
  <c r="T139" i="12"/>
  <c r="T140" i="12" l="1"/>
  <c r="U139" i="12"/>
  <c r="U140" i="12" l="1"/>
  <c r="V139" i="12"/>
  <c r="V140" i="12" l="1"/>
  <c r="X139" i="12"/>
  <c r="W139" i="12"/>
  <c r="E142" i="12" l="1"/>
  <c r="I25" i="11" s="1"/>
  <c r="W140" i="12"/>
  <c r="X140" i="12"/>
  <c r="I15" i="11" l="1"/>
  <c r="AA31" i="41"/>
  <c r="AA27" i="41"/>
  <c r="AA29" i="41"/>
  <c r="AA30" i="41"/>
  <c r="U27" i="41"/>
  <c r="Q33" i="41"/>
  <c r="AA24" i="41"/>
  <c r="U24" i="41"/>
  <c r="U25" i="41"/>
  <c r="U28" i="41"/>
  <c r="U23" i="41"/>
  <c r="U31" i="41"/>
  <c r="AA28" i="41"/>
  <c r="U29" i="41"/>
  <c r="U30" i="41"/>
  <c r="U21" i="41"/>
  <c r="U26" i="41"/>
  <c r="AA21" i="41"/>
  <c r="U33" i="41" l="1"/>
  <c r="AA26" i="41"/>
  <c r="AA25" i="41"/>
  <c r="V33" i="41"/>
  <c r="AA23" i="41"/>
  <c r="AA33" i="41" l="1"/>
  <c r="I110" i="12" l="1"/>
  <c r="F149" i="12" s="1"/>
  <c r="E156" i="12" s="1"/>
  <c r="I26" i="11" s="1"/>
  <c r="F154" i="12" l="1"/>
  <c r="F155" i="12" s="1"/>
  <c r="I29" i="11"/>
  <c r="N27" i="21"/>
  <c r="I8" i="11" s="1"/>
  <c r="I11" i="11" s="1"/>
  <c r="I19" i="11" s="1"/>
  <c r="I20" i="11" l="1"/>
  <c r="I21" i="11" s="1"/>
  <c r="I31" i="11"/>
</calcChain>
</file>

<file path=xl/sharedStrings.xml><?xml version="1.0" encoding="utf-8"?>
<sst xmlns="http://schemas.openxmlformats.org/spreadsheetml/2006/main" count="1365" uniqueCount="624">
  <si>
    <t xml:space="preserve">All Tab Instructions: </t>
  </si>
  <si>
    <t>Utility:</t>
  </si>
  <si>
    <t>Proponent:</t>
  </si>
  <si>
    <t>Project/RFP Number:</t>
  </si>
  <si>
    <t xml:space="preserve">Note: Proponent to fill in cells in blue </t>
  </si>
  <si>
    <t>Tab</t>
  </si>
  <si>
    <t>Tab Description</t>
  </si>
  <si>
    <t>Extended</t>
  </si>
  <si>
    <t>Total Solution Cost</t>
  </si>
  <si>
    <t>HST</t>
  </si>
  <si>
    <t>ALTERNATIVE SOLUTIONS</t>
  </si>
  <si>
    <t>Alternatives ALT1, ALT2, ALT3, ALT4, ALT5</t>
  </si>
  <si>
    <t>ALT1</t>
  </si>
  <si>
    <t>ALT1 - Water Meter Supply</t>
  </si>
  <si>
    <t>ALT2</t>
  </si>
  <si>
    <t>ALT2 - Installation Services</t>
  </si>
  <si>
    <t>ALT3</t>
  </si>
  <si>
    <t>ALT3 - AMI Network &amp; Radio</t>
  </si>
  <si>
    <t>ALT4</t>
  </si>
  <si>
    <t>ALT4 - Software Implementation &amp; Training</t>
  </si>
  <si>
    <t>ALT5</t>
  </si>
  <si>
    <t>ALT5 - Product Supply for Town's Use</t>
  </si>
  <si>
    <t>Life Cycle Cost - ALT6, ALT7, ALT8</t>
  </si>
  <si>
    <t>ALT6</t>
  </si>
  <si>
    <t>ALT6 - Year One SaaS &amp; AMI Network Services</t>
  </si>
  <si>
    <t>ALT7</t>
  </si>
  <si>
    <t>ALT7 - Water Meter Maintenance</t>
  </si>
  <si>
    <t>ALT8</t>
  </si>
  <si>
    <t>ALT8 - Life Cycle Cost</t>
  </si>
  <si>
    <t>Total Optional ALT9</t>
  </si>
  <si>
    <t>ALT9</t>
  </si>
  <si>
    <t>ALT9 - Optional Products, Services and Software</t>
  </si>
  <si>
    <t>I have read, acknowledge and understand all terms, conditions and requirements contained in this proposal document:</t>
  </si>
  <si>
    <t>Company Name:</t>
  </si>
  <si>
    <t>Address:</t>
  </si>
  <si>
    <t>Phone Number:</t>
  </si>
  <si>
    <t>E-mail:</t>
  </si>
  <si>
    <t>Name &amp; Position Of Person Signing:</t>
  </si>
  <si>
    <t>(Please Print)</t>
  </si>
  <si>
    <t>Signature:</t>
  </si>
  <si>
    <t>Date:</t>
  </si>
  <si>
    <t>" I have the authority to bind the Corporation/Company/Partnership"</t>
  </si>
  <si>
    <t>Please ensure that an original signature (ink) is provided with the original Proposal document. A</t>
  </si>
  <si>
    <t>photocopy of the signatures will not be accepted on the document marked as the Original.  Failure to</t>
  </si>
  <si>
    <t>provide original signatures on the document marked original may result in the rejection of your Proposal.</t>
  </si>
  <si>
    <t>The lowest, or any proposal, may not necessarily be accepted</t>
  </si>
  <si>
    <t>Item #</t>
  </si>
  <si>
    <t>Acceptance Category</t>
  </si>
  <si>
    <t>Description</t>
  </si>
  <si>
    <t>Sub-Description</t>
  </si>
  <si>
    <t>Unit of Measure</t>
  </si>
  <si>
    <t>Proponent Proposed?</t>
  </si>
  <si>
    <t>Quantity</t>
  </si>
  <si>
    <t>Price</t>
  </si>
  <si>
    <t>Supply and Install Equipment</t>
  </si>
  <si>
    <t>Each</t>
  </si>
  <si>
    <t>Comments (Optional - blue cells do not have to be filled out)</t>
  </si>
  <si>
    <t>Mobilization</t>
  </si>
  <si>
    <t>N/A</t>
  </si>
  <si>
    <t>Milestone</t>
  </si>
  <si>
    <t>Yes</t>
  </si>
  <si>
    <t>Note: Proponent to fill in all cells in blue.  
Proponent Proposed? Yes = Proposed option, No = Not Applicable</t>
  </si>
  <si>
    <t>Base Qty (hide from bidders)</t>
  </si>
  <si>
    <t>RF wall mount</t>
  </si>
  <si>
    <t>Cellular wall mount</t>
  </si>
  <si>
    <t>Disbursements</t>
  </si>
  <si>
    <r>
      <rPr>
        <b/>
        <sz val="11"/>
        <color theme="1"/>
        <rFont val="Calibri"/>
        <family val="2"/>
      </rPr>
      <t>Supply of AMI Collection Devices - Data Collector</t>
    </r>
    <r>
      <rPr>
        <sz val="11"/>
        <color theme="1"/>
        <rFont val="Calibri"/>
        <family val="2"/>
      </rPr>
      <t xml:space="preserve">
Supply of fixed based (powered as indicated) </t>
    </r>
    <r>
      <rPr>
        <u/>
        <sz val="11"/>
        <color theme="1"/>
        <rFont val="Calibri"/>
        <family val="2"/>
      </rPr>
      <t>Data Collector</t>
    </r>
    <r>
      <rPr>
        <sz val="11"/>
        <color theme="1"/>
        <rFont val="Calibri"/>
        <family val="2"/>
      </rPr>
      <t xml:space="preserve"> including the data collector, antenna, mounting and bracket equipment. Proponents shall enter the number of collectors required. </t>
    </r>
  </si>
  <si>
    <t>AC Power</t>
  </si>
  <si>
    <t>Solar Power</t>
  </si>
  <si>
    <r>
      <rPr>
        <b/>
        <sz val="11"/>
        <color theme="1"/>
        <rFont val="Calibri"/>
        <family val="2"/>
      </rPr>
      <t>Supply of AMI Collection Devices - Data Repeater</t>
    </r>
    <r>
      <rPr>
        <sz val="11"/>
        <color theme="1"/>
        <rFont val="Calibri"/>
        <family val="2"/>
      </rPr>
      <t xml:space="preserve">
Supply of fixed based (powered as indicated) </t>
    </r>
    <r>
      <rPr>
        <u/>
        <sz val="11"/>
        <color theme="1"/>
        <rFont val="Calibri"/>
        <family val="2"/>
      </rPr>
      <t>Data Repeater</t>
    </r>
    <r>
      <rPr>
        <sz val="11"/>
        <color theme="1"/>
        <rFont val="Calibri"/>
        <family val="2"/>
      </rPr>
      <t xml:space="preserve"> including the repeater, antenna, mounting and bracket equipment.  Proponents shall enter the number of collectors required. </t>
    </r>
  </si>
  <si>
    <t>Installation on a building</t>
  </si>
  <si>
    <t>Communications Tower / Water Tower</t>
  </si>
  <si>
    <t>Lighting or power pole</t>
  </si>
  <si>
    <t>40'</t>
  </si>
  <si>
    <t>60'</t>
  </si>
  <si>
    <t>90'</t>
  </si>
  <si>
    <t>Comments (Optional - blue Cells do not have to be filled out)</t>
  </si>
  <si>
    <t xml:space="preserve">Note: Proponent to fill in all cells in blue.  
Proponent Proposed? Yes = Proposed option, No = Not Applicable  </t>
  </si>
  <si>
    <t>Software</t>
  </si>
  <si>
    <t>Initial software license</t>
  </si>
  <si>
    <t>Implementation disbursement</t>
  </si>
  <si>
    <r>
      <rPr>
        <b/>
        <sz val="11"/>
        <color theme="1"/>
        <rFont val="Calibri"/>
        <family val="2"/>
      </rPr>
      <t>Supply and implementation of the AMI Data Collection Software:</t>
    </r>
    <r>
      <rPr>
        <sz val="11"/>
        <color theme="1"/>
        <rFont val="Calibri"/>
        <family val="2"/>
      </rPr>
      <t xml:space="preserve">
Including software loading, configuration, development of interfaces (not including billing side of the interface), support of user acceptance testing and on-site training.</t>
    </r>
  </si>
  <si>
    <t>Beneficial Use Category</t>
  </si>
  <si>
    <t>Proposed</t>
  </si>
  <si>
    <t>Year 4 - Extended</t>
  </si>
  <si>
    <t>Supplied Equipment</t>
  </si>
  <si>
    <r>
      <rPr>
        <b/>
        <sz val="11"/>
        <color theme="1"/>
        <rFont val="Calibri"/>
        <family val="2"/>
      </rPr>
      <t xml:space="preserve">Supply of a Cellular Radio Transmitter:
</t>
    </r>
    <r>
      <rPr>
        <sz val="11"/>
        <color theme="1"/>
        <rFont val="Calibri"/>
        <family val="2"/>
      </rPr>
      <t>Supplied during a meter change out, retrofit or upgrade.  Includes wire, backplate, mounting equipment, and consumables.  Products are invoiced upon accepted delivery.</t>
    </r>
  </si>
  <si>
    <t>None</t>
  </si>
  <si>
    <r>
      <t xml:space="preserve">Supply of a Communication Device for an Existing Smart Phone (where applicable): 
</t>
    </r>
    <r>
      <rPr>
        <sz val="11"/>
        <color theme="1"/>
        <rFont val="Calibri"/>
        <family val="2"/>
      </rPr>
      <t>Supplied for the radio transmitter to perform reading, programming, and maintenance trouble shooting.  Including radio transmitter communication device, cradle, power and communication cables (where applicable).  Products are invoiced upon accepted delivery.</t>
    </r>
  </si>
  <si>
    <t>5H</t>
  </si>
  <si>
    <t xml:space="preserve">Note: Proponent to fill in all cells in blue.  
Proponent Proposed? Yes = Proposed option, No = Not Applicable  
</t>
  </si>
  <si>
    <t>Category</t>
  </si>
  <si>
    <t>Years</t>
  </si>
  <si>
    <t>Units</t>
  </si>
  <si>
    <t>Support, Maintenance &amp; Subscription</t>
  </si>
  <si>
    <t>AMI Data Collection Software</t>
  </si>
  <si>
    <r>
      <rPr>
        <b/>
        <sz val="11"/>
        <rFont val="Calibri"/>
        <family val="2"/>
      </rPr>
      <t>Cellular Network as a Service:</t>
    </r>
    <r>
      <rPr>
        <sz val="11"/>
        <rFont val="Calibri"/>
        <family val="2"/>
      </rPr>
      <t xml:space="preserve">
The quantity equals the number of proposed cellular radio transmitters.  Includes all payments to the cellular provider for the full term.</t>
    </r>
  </si>
  <si>
    <t xml:space="preserve">Note: Proponent to fill in all cells in blue.  
</t>
  </si>
  <si>
    <t>Radio Transmitter Warranty</t>
  </si>
  <si>
    <t>% of Radio Transmitters</t>
  </si>
  <si>
    <t>Unit Price</t>
  </si>
  <si>
    <t>Warranty</t>
  </si>
  <si>
    <t>The price of the Radio Transmitter that the warranty will be based on.  If it is based on Market price at the time, indicate the current market price.</t>
  </si>
  <si>
    <t>Average Radio Transmitter Cost</t>
  </si>
  <si>
    <t>Radio Transmitter Proration Table</t>
  </si>
  <si>
    <t xml:space="preserve">Expected Failure Rate </t>
  </si>
  <si>
    <t>Year</t>
  </si>
  <si>
    <t>Proration Rate (Percentage of Average Radio Transmitter Costs to be covered by Vendor)</t>
  </si>
  <si>
    <t>Utility  Cost</t>
  </si>
  <si>
    <t>Year 1</t>
  </si>
  <si>
    <t>Year 2</t>
  </si>
  <si>
    <t>Year 3</t>
  </si>
  <si>
    <t>Year 4</t>
  </si>
  <si>
    <t>Year 5</t>
  </si>
  <si>
    <t>Year 6</t>
  </si>
  <si>
    <t>Year 7</t>
  </si>
  <si>
    <t>Year 8</t>
  </si>
  <si>
    <t>Year 9</t>
  </si>
  <si>
    <t>Year 10</t>
  </si>
  <si>
    <t>Year 11</t>
  </si>
  <si>
    <t>Year 12</t>
  </si>
  <si>
    <t>Year 13</t>
  </si>
  <si>
    <t>Year 14</t>
  </si>
  <si>
    <t>Year 15</t>
  </si>
  <si>
    <t>Year 16</t>
  </si>
  <si>
    <t>Year 17</t>
  </si>
  <si>
    <t>Year 18</t>
  </si>
  <si>
    <t>Year 19</t>
  </si>
  <si>
    <t>Year 20</t>
  </si>
  <si>
    <t>The price of the Non-mechanical water meter that the warranty will be based on.  If it is based on Market price at the time, indicate the current market price.</t>
  </si>
  <si>
    <t>Average Water Meter Cost</t>
  </si>
  <si>
    <t>Non-Mechanical Meter Proration Table</t>
  </si>
  <si>
    <t>Cashflows</t>
  </si>
  <si>
    <t>Cost Description</t>
  </si>
  <si>
    <t>Cost Type</t>
  </si>
  <si>
    <t>Life Cycle Costs</t>
  </si>
  <si>
    <t>NPV</t>
  </si>
  <si>
    <t>Total Cashflows</t>
  </si>
  <si>
    <t>Discount Rate:</t>
  </si>
  <si>
    <t>Present Value of Annual Cashflow</t>
  </si>
  <si>
    <t>Optional Proponent Products or Services</t>
  </si>
  <si>
    <t>Support, Maintinance &amp; Subscription</t>
  </si>
  <si>
    <t>No</t>
  </si>
  <si>
    <t>Lookups</t>
  </si>
  <si>
    <t>City of Winnipeg</t>
  </si>
  <si>
    <r>
      <rPr>
        <b/>
        <sz val="11"/>
        <rFont val="Calibri"/>
        <family val="2"/>
      </rPr>
      <t>ISED Costs for New Licensed Equipment for all proposed equipment (payable directly by the City of Winnipeg)</t>
    </r>
    <r>
      <rPr>
        <sz val="11"/>
        <rFont val="Calibri"/>
        <family val="2"/>
      </rPr>
      <t xml:space="preserve">
Proponent to fill in the worst case ISED Licensing Costs per year (if applicable); costs above as indicated are the responsibility of the Contractor.</t>
    </r>
  </si>
  <si>
    <t>B1</t>
  </si>
  <si>
    <t>B3</t>
  </si>
  <si>
    <t>B4</t>
  </si>
  <si>
    <t>B6</t>
  </si>
  <si>
    <t>B7</t>
  </si>
  <si>
    <t>B1 - Water Meter Supply</t>
  </si>
  <si>
    <t>B1.1</t>
  </si>
  <si>
    <t>B1.2</t>
  </si>
  <si>
    <t>B1.3</t>
  </si>
  <si>
    <t>B1.4</t>
  </si>
  <si>
    <t>B1.5</t>
  </si>
  <si>
    <t>B1.6</t>
  </si>
  <si>
    <t>B1.7</t>
  </si>
  <si>
    <t>B1.8</t>
  </si>
  <si>
    <t>B1.9</t>
  </si>
  <si>
    <t>B1.10</t>
  </si>
  <si>
    <t>B4.1</t>
  </si>
  <si>
    <t>B4.2</t>
  </si>
  <si>
    <t>B4.3</t>
  </si>
  <si>
    <t>B4.4</t>
  </si>
  <si>
    <t>B4.5</t>
  </si>
  <si>
    <t>B4.6</t>
  </si>
  <si>
    <t>B4.7</t>
  </si>
  <si>
    <t>B4.8</t>
  </si>
  <si>
    <t>B4.13</t>
  </si>
  <si>
    <t>B4.14</t>
  </si>
  <si>
    <t>B4.15</t>
  </si>
  <si>
    <t>B4.16</t>
  </si>
  <si>
    <t>B4.17</t>
  </si>
  <si>
    <t>B4.18</t>
  </si>
  <si>
    <t>B4.19</t>
  </si>
  <si>
    <t>B4.20</t>
  </si>
  <si>
    <t>B4.21</t>
  </si>
  <si>
    <t>B4.22</t>
  </si>
  <si>
    <t>B4.23</t>
  </si>
  <si>
    <t>B4.24</t>
  </si>
  <si>
    <t>B5.1</t>
  </si>
  <si>
    <t>B5.2</t>
  </si>
  <si>
    <t>B5.3</t>
  </si>
  <si>
    <t>B5.4</t>
  </si>
  <si>
    <t>B5.5</t>
  </si>
  <si>
    <t>B5.6</t>
  </si>
  <si>
    <t>B5.7</t>
  </si>
  <si>
    <t>B5.8</t>
  </si>
  <si>
    <t>B5.9</t>
  </si>
  <si>
    <t>B5.10</t>
  </si>
  <si>
    <t>B5.11</t>
  </si>
  <si>
    <t>B5.12</t>
  </si>
  <si>
    <t>B5.14</t>
  </si>
  <si>
    <t>B5.15</t>
  </si>
  <si>
    <t>B6.1</t>
  </si>
  <si>
    <t>B6.2</t>
  </si>
  <si>
    <t>B6.3</t>
  </si>
  <si>
    <t>B6.4</t>
  </si>
  <si>
    <t>B6.5</t>
  </si>
  <si>
    <t>B6.6</t>
  </si>
  <si>
    <t>B6.7</t>
  </si>
  <si>
    <t>B6.8</t>
  </si>
  <si>
    <t>B6.9</t>
  </si>
  <si>
    <t>B6.10</t>
  </si>
  <si>
    <t>B6.11</t>
  </si>
  <si>
    <t>B6.12</t>
  </si>
  <si>
    <t>B6.13</t>
  </si>
  <si>
    <t>B6.14</t>
  </si>
  <si>
    <t>B6.15</t>
  </si>
  <si>
    <t>Meter Size</t>
  </si>
  <si>
    <t xml:space="preserve">Total </t>
  </si>
  <si>
    <t>20mm</t>
  </si>
  <si>
    <t>25mm</t>
  </si>
  <si>
    <t>50mm</t>
  </si>
  <si>
    <t>75mm</t>
  </si>
  <si>
    <t>100mm</t>
  </si>
  <si>
    <t>150mm</t>
  </si>
  <si>
    <t>200mm</t>
  </si>
  <si>
    <t>250 mm</t>
  </si>
  <si>
    <t>Production Schedule (meters to be replaced Scenario 2)</t>
  </si>
  <si>
    <t>Grand Total</t>
  </si>
  <si>
    <t>AMI WorkTypes - Sceanrio 2</t>
  </si>
  <si>
    <t>Replace Meter / Install Transmitter</t>
  </si>
  <si>
    <t>Retain Meter / Install Transmitter</t>
  </si>
  <si>
    <t>Total</t>
  </si>
  <si>
    <t>5/8”</t>
  </si>
  <si>
    <t>‘3/4”</t>
  </si>
  <si>
    <t>1”</t>
  </si>
  <si>
    <t>1.5”</t>
  </si>
  <si>
    <t>2”</t>
  </si>
  <si>
    <t>3”</t>
  </si>
  <si>
    <t>4”</t>
  </si>
  <si>
    <t>6”</t>
  </si>
  <si>
    <t>8”</t>
  </si>
  <si>
    <t>10”</t>
  </si>
  <si>
    <t>% of Meters</t>
  </si>
  <si>
    <t>Total Quantity:</t>
  </si>
  <si>
    <t>B1.11</t>
  </si>
  <si>
    <t>B1.12</t>
  </si>
  <si>
    <t>B1.14</t>
  </si>
  <si>
    <t>B1.15</t>
  </si>
  <si>
    <t>B1.16</t>
  </si>
  <si>
    <t>B1.17</t>
  </si>
  <si>
    <t>B1.18</t>
  </si>
  <si>
    <t>B1.19</t>
  </si>
  <si>
    <t>B1.20</t>
  </si>
  <si>
    <t>RF Wall mount</t>
  </si>
  <si>
    <t>Cellular Wall mount</t>
  </si>
  <si>
    <t>All Sizes</t>
  </si>
  <si>
    <t>Reprogram Meter / Install Transmitter</t>
  </si>
  <si>
    <t>15x12mm</t>
  </si>
  <si>
    <r>
      <rPr>
        <b/>
        <sz val="11"/>
        <color theme="1"/>
        <rFont val="Calibri"/>
        <family val="2"/>
      </rPr>
      <t>Installation of  Data Collector on the types of assets shown:</t>
    </r>
    <r>
      <rPr>
        <sz val="11"/>
        <color theme="1"/>
        <rFont val="Calibri"/>
        <family val="2"/>
      </rPr>
      <t xml:space="preserve">
The installation shall include all mounting equipment, labour, lifting equipment, safety fall protection equipment, LAN, AC and Antenna wiring and conduit as required up to 50 feet, and initialization and testing. The total quantity for these line items should equal the total quantities in line items B3.5, B3.6</t>
    </r>
  </si>
  <si>
    <r>
      <rPr>
        <b/>
        <sz val="11"/>
        <color theme="1"/>
        <rFont val="Calibri"/>
        <family val="2"/>
      </rPr>
      <t>Installation of Data Repeater on the types of assets shown:</t>
    </r>
    <r>
      <rPr>
        <sz val="11"/>
        <color theme="1"/>
        <rFont val="Calibri"/>
        <family val="2"/>
      </rPr>
      <t xml:space="preserve">
The installation shall include all mounting equipment, labour, lifting equipment, safety fall protection equipment, LAN, AC and Antenna wiring and conduit as required up to 50 feet, and initialization and testing. The total quantity for these line items should equal the total quantities in line items B3.7, B3.8</t>
    </r>
  </si>
  <si>
    <r>
      <rPr>
        <b/>
        <sz val="11"/>
        <color theme="1"/>
        <rFont val="Calibri"/>
        <family val="2"/>
      </rPr>
      <t>Supply and Installation of New Pole:</t>
    </r>
    <r>
      <rPr>
        <sz val="11"/>
        <color theme="1"/>
        <rFont val="Calibri"/>
        <family val="2"/>
      </rPr>
      <t xml:space="preserve">
Provide the labour, materials and equipment for the supply and Installation of new concrete or composite pole(s) for data collector or repeater locations where a building does not exist.  </t>
    </r>
  </si>
  <si>
    <r>
      <rPr>
        <b/>
        <sz val="11"/>
        <color theme="1"/>
        <rFont val="Calibri"/>
        <family val="2"/>
      </rPr>
      <t>Supply and implementation of the AMI Software:</t>
    </r>
    <r>
      <rPr>
        <sz val="11"/>
        <color theme="1"/>
        <rFont val="Calibri"/>
        <family val="2"/>
      </rPr>
      <t xml:space="preserve">
Including software loading, configuration, development of interfaces (not including billing side of the interface), support of user acceptance testing, on-site training and 3 years of data storage.</t>
    </r>
  </si>
  <si>
    <t xml:space="preserve">Implementation labour </t>
  </si>
  <si>
    <t>Training labour</t>
  </si>
  <si>
    <t>Labour</t>
  </si>
  <si>
    <t>AMI Software</t>
  </si>
  <si>
    <r>
      <rPr>
        <b/>
        <sz val="11"/>
        <color theme="1"/>
        <rFont val="Calibri"/>
        <family val="2"/>
      </rPr>
      <t>Network deployment management:</t>
    </r>
    <r>
      <rPr>
        <sz val="11"/>
        <color theme="1"/>
        <rFont val="Calibri"/>
        <family val="2"/>
      </rPr>
      <t xml:space="preserve"> 
Coordination, initial inspection and support the approval of the AMI network deployment including labour and disbursements. The Proponents shall enter the total number of trips and hours as well as the corresponding prices.</t>
    </r>
  </si>
  <si>
    <t>B1.21</t>
  </si>
  <si>
    <r>
      <rPr>
        <b/>
        <sz val="11"/>
        <rFont val="Calibri"/>
        <family val="2"/>
      </rPr>
      <t>Software as a Service (of the specified application):</t>
    </r>
    <r>
      <rPr>
        <sz val="11"/>
        <rFont val="Calibri"/>
        <family val="2"/>
      </rPr>
      <t xml:space="preserve">
Quantity represents number of years x number of units.  Units represents the sum of line items B3.1 to B3.2.</t>
    </r>
  </si>
  <si>
    <t>B7.1</t>
  </si>
  <si>
    <t>B7.2</t>
  </si>
  <si>
    <t>B7.3</t>
  </si>
  <si>
    <t>B7.4</t>
  </si>
  <si>
    <t>B7.5</t>
  </si>
  <si>
    <t>B7.6</t>
  </si>
  <si>
    <t>B7.7</t>
  </si>
  <si>
    <t>B7.8</t>
  </si>
  <si>
    <t>B7.9</t>
  </si>
  <si>
    <t>B7.10</t>
  </si>
  <si>
    <t>B7.11</t>
  </si>
  <si>
    <t>B7.12</t>
  </si>
  <si>
    <t>B7.13</t>
  </si>
  <si>
    <t>Quantity - POC</t>
  </si>
  <si>
    <t>Price - POC</t>
  </si>
  <si>
    <t>Quantity - Full Deployment</t>
  </si>
  <si>
    <t>Prices - Full Deployment</t>
  </si>
  <si>
    <t>15mmx12mm</t>
  </si>
  <si>
    <t>40mm</t>
  </si>
  <si>
    <t>250mm</t>
  </si>
  <si>
    <t>Non-Mechanical Meter</t>
  </si>
  <si>
    <t>Fire rated Non-Mechanical Meter</t>
  </si>
  <si>
    <t>RF Radio Transmitter</t>
  </si>
  <si>
    <t>Cellular Radio Transmitter</t>
  </si>
  <si>
    <t>Communication Device for an Existing Smart Phone</t>
  </si>
  <si>
    <t>Percentage of Total Per Year:</t>
  </si>
  <si>
    <t>Table 5 - AMI Radio Transmitters Quantities by Year</t>
  </si>
  <si>
    <t>Table 4 - Supply for Winnipeg Use Quantities by Year</t>
  </si>
  <si>
    <r>
      <t xml:space="preserve">Supply of an Approved Fire Rated (FM/UL) Non-Mechanical Water Meter for Inside Installation:
</t>
    </r>
    <r>
      <rPr>
        <sz val="11"/>
        <rFont val="Calibri"/>
        <family val="2"/>
      </rPr>
      <t>Supply of a fire rated (FM or UL certified) non-mechanical water meter (C715-18(R22)) including base meter, high resolution encoder register with terminal screws.  Products are invoiced upon accepted delivery.</t>
    </r>
  </si>
  <si>
    <r>
      <rPr>
        <b/>
        <sz val="11"/>
        <color theme="1"/>
        <rFont val="Calibri"/>
        <family val="2"/>
      </rPr>
      <t>Supply of an Approved Non-Mechanical Water Meter for Inside Installation:</t>
    </r>
    <r>
      <rPr>
        <sz val="11"/>
        <color theme="1"/>
        <rFont val="Calibri"/>
        <family val="2"/>
      </rPr>
      <t xml:space="preserve">
Supply of a non-mechanical water meter (C715-18(R22)) including base meter, high resolution encoder register with terminal screws, manufacturer approved gaskets, and stainless steel bolts (as appropriate for each size and type of meter).  Products are invoiced upon accepted delivery.</t>
    </r>
  </si>
  <si>
    <t>B2</t>
  </si>
  <si>
    <t>B2 - AMI Network &amp; Radio</t>
  </si>
  <si>
    <t>B3 - Software Implementation &amp; Training</t>
  </si>
  <si>
    <t>B4 - Product Supply for Winnipeg Use</t>
  </si>
  <si>
    <t>Initial Capital Costs - B1, B2, B3, B4</t>
  </si>
  <si>
    <t>B7 - Optional Products, Services and Software</t>
  </si>
  <si>
    <t>Total Optional B7</t>
  </si>
  <si>
    <t xml:space="preserve">Meter Quantities by Year </t>
  </si>
  <si>
    <t>AMI Radio Transmitters Quantities by Year</t>
  </si>
  <si>
    <t>B2.1</t>
  </si>
  <si>
    <t>B2.2</t>
  </si>
  <si>
    <t>B2.3</t>
  </si>
  <si>
    <t>B2.4</t>
  </si>
  <si>
    <t>B2.5</t>
  </si>
  <si>
    <t>B2.6</t>
  </si>
  <si>
    <t>B2.7</t>
  </si>
  <si>
    <t>B2.8</t>
  </si>
  <si>
    <t>B2.9</t>
  </si>
  <si>
    <t>B2.10</t>
  </si>
  <si>
    <t>B2.11</t>
  </si>
  <si>
    <t>B2.12</t>
  </si>
  <si>
    <t>B2.13</t>
  </si>
  <si>
    <t>B2.14</t>
  </si>
  <si>
    <t>B2.15</t>
  </si>
  <si>
    <t>B2.16</t>
  </si>
  <si>
    <t>B2.17</t>
  </si>
  <si>
    <t>B2.18</t>
  </si>
  <si>
    <t>B2.19</t>
  </si>
  <si>
    <t>B2.20</t>
  </si>
  <si>
    <t>B2.21</t>
  </si>
  <si>
    <t>B2.22</t>
  </si>
  <si>
    <t>B2.23</t>
  </si>
  <si>
    <t>B2.24</t>
  </si>
  <si>
    <t>B2.25</t>
  </si>
  <si>
    <t>B2.26</t>
  </si>
  <si>
    <t>B2.27</t>
  </si>
  <si>
    <t>B2.28</t>
  </si>
  <si>
    <r>
      <t xml:space="preserve">Supply of an Approved Non-Mechanical Water Meter for Inside Installation:
</t>
    </r>
    <r>
      <rPr>
        <sz val="11"/>
        <rFont val="Calibri"/>
        <family val="2"/>
      </rPr>
      <t>Supply of non-mechanical water meters (C715-18) including base meter, high resolution encoder register with terminal screws.  Products are invoiced with an accepted installation.</t>
    </r>
    <r>
      <rPr>
        <b/>
        <sz val="11"/>
        <rFont val="Calibri"/>
        <family val="2"/>
      </rPr>
      <t xml:space="preserve">
Note: If proposing an intergated water meter and radio transmitter, include all costs in this table.   </t>
    </r>
  </si>
  <si>
    <r>
      <rPr>
        <b/>
        <sz val="11"/>
        <color theme="1"/>
        <rFont val="Calibri"/>
        <family val="2"/>
      </rPr>
      <t xml:space="preserve">Supply of a RF Radio Transmitter:
</t>
    </r>
    <r>
      <rPr>
        <sz val="11"/>
        <color theme="1"/>
        <rFont val="Calibri"/>
        <family val="2"/>
      </rPr>
      <t xml:space="preserve">Supplied during a meter change out or retrofit.  Includes wire, backplate, mounting equipment, and consumables (invoiced on successful installation).
</t>
    </r>
    <r>
      <rPr>
        <b/>
        <sz val="11"/>
        <color theme="1"/>
        <rFont val="Calibri"/>
        <family val="2"/>
      </rPr>
      <t xml:space="preserve">Note: Only provide the costs of the AMI radio transmitter.  If an integrated meter and radio transmitter product is being proposed, all costs are to be entered in table B1 Water Meter Supply.  </t>
    </r>
  </si>
  <si>
    <r>
      <rPr>
        <b/>
        <sz val="11"/>
        <color theme="1"/>
        <rFont val="Calibri"/>
        <family val="2"/>
      </rPr>
      <t xml:space="preserve">Supply of a Cellular Radio Transmitter:
</t>
    </r>
    <r>
      <rPr>
        <sz val="11"/>
        <color theme="1"/>
        <rFont val="Calibri"/>
        <family val="2"/>
      </rPr>
      <t xml:space="preserve">Supplied during a meter change out, retrofit or upgrade.  Includes wire, backplate, mounting equipment, and consumables (invoiced on successful installation).
</t>
    </r>
    <r>
      <rPr>
        <b/>
        <sz val="11"/>
        <color theme="1"/>
        <rFont val="Calibri"/>
        <family val="2"/>
      </rPr>
      <t xml:space="preserve">Note: Only provide the costs of the AMI radio transmitter.  If an integrated meter and radio transmitter product is being proposed, all costs are to be entered in table B1 Water Meter Supply.  </t>
    </r>
  </si>
  <si>
    <t xml:space="preserve">RF pit </t>
  </si>
  <si>
    <t>Small Non-mechanical Water Meter Warranty</t>
  </si>
  <si>
    <t>SM Water Meter Warranty Risk</t>
  </si>
  <si>
    <t>IM Water Meter Warranty Risk</t>
  </si>
  <si>
    <t>LM Water Meter Warranty Risk</t>
  </si>
  <si>
    <t>15x20mm</t>
  </si>
  <si>
    <t>5/8x3/4</t>
  </si>
  <si>
    <t>B1.22</t>
  </si>
  <si>
    <t>15mmx20mm</t>
  </si>
  <si>
    <t>All</t>
  </si>
  <si>
    <t>Pressure devices</t>
  </si>
  <si>
    <t>Grounding straps</t>
  </si>
  <si>
    <t>B5.13</t>
  </si>
  <si>
    <r>
      <rPr>
        <b/>
        <sz val="11"/>
        <rFont val="Calibri"/>
        <family val="2"/>
      </rPr>
      <t>ISED Costs for New Licenced Equipment for all proposed equipment (payable directly by City of Winnipeg)</t>
    </r>
    <r>
      <rPr>
        <sz val="11"/>
        <rFont val="Calibri"/>
        <family val="2"/>
      </rPr>
      <t xml:space="preserve">
Year 2 to 20, year one is included in Tab B5.3 Year One Costs SaaS&amp;NaaS</t>
    </r>
  </si>
  <si>
    <r>
      <rPr>
        <b/>
        <sz val="11"/>
        <rFont val="Calibri"/>
        <family val="2"/>
      </rPr>
      <t>Cellular Network as a Service:</t>
    </r>
    <r>
      <rPr>
        <sz val="11"/>
        <rFont val="Calibri"/>
        <family val="2"/>
      </rPr>
      <t xml:space="preserve">
Year 2 to 20, year one is included in Tab B6.5 Year One Costs SaaS&amp;NaaS</t>
    </r>
  </si>
  <si>
    <r>
      <rPr>
        <b/>
        <sz val="11"/>
        <rFont val="Calibri"/>
        <family val="2"/>
      </rPr>
      <t>Software as a Service (of the specified application):</t>
    </r>
    <r>
      <rPr>
        <sz val="11"/>
        <rFont val="Calibri"/>
        <family val="2"/>
      </rPr>
      <t xml:space="preserve">
Year 2 to 20, year one is included in Tab B5.1 - B5.2 Year One Costs SaaS&amp;AMI Network Services</t>
    </r>
  </si>
  <si>
    <r>
      <rPr>
        <b/>
        <sz val="11"/>
        <rFont val="Calibri"/>
        <family val="2"/>
      </rPr>
      <t>Network as a Service:</t>
    </r>
    <r>
      <rPr>
        <sz val="11"/>
        <rFont val="Calibri"/>
        <family val="2"/>
      </rPr>
      <t xml:space="preserve">
Year 2 to 20, year one is included in Tab B5.4 Year One Costs SaaS&amp;AMI Network Services</t>
    </r>
  </si>
  <si>
    <t>Small Non-mechanical Water Meter Warranty Proration Table</t>
  </si>
  <si>
    <t>Large Non-mechanical Water Meter Warranty Proration Table</t>
  </si>
  <si>
    <t>Large Non-mechanical Water Meter Warranty</t>
  </si>
  <si>
    <t>Intermediate Non-mechanical Water Meter Warranty</t>
  </si>
  <si>
    <t>Intermediate Non-mechanical Water Meter Warranty Proration Table</t>
  </si>
  <si>
    <t>B6.16</t>
  </si>
  <si>
    <t>B6.17</t>
  </si>
  <si>
    <t>B6.18</t>
  </si>
  <si>
    <t>B6.19</t>
  </si>
  <si>
    <t>B6.20</t>
  </si>
  <si>
    <t>B6.21</t>
  </si>
  <si>
    <t>B6.22</t>
  </si>
  <si>
    <t>B6.23</t>
  </si>
  <si>
    <t>B6.24</t>
  </si>
  <si>
    <t>B6.25</t>
  </si>
  <si>
    <t>B6.26</t>
  </si>
  <si>
    <t>B6.27</t>
  </si>
  <si>
    <t>B6.28</t>
  </si>
  <si>
    <t>B6.29</t>
  </si>
  <si>
    <t>B6.30</t>
  </si>
  <si>
    <t>B6.31</t>
  </si>
  <si>
    <t>B6.32</t>
  </si>
  <si>
    <t>B6.33</t>
  </si>
  <si>
    <t>B6.34</t>
  </si>
  <si>
    <t>B6.35</t>
  </si>
  <si>
    <t>B6.36</t>
  </si>
  <si>
    <t>B6.37</t>
  </si>
  <si>
    <t>B6.38</t>
  </si>
  <si>
    <t>B6.39</t>
  </si>
  <si>
    <t>B6.40</t>
  </si>
  <si>
    <t>B6.41</t>
  </si>
  <si>
    <t>B6.42</t>
  </si>
  <si>
    <t>B6.43</t>
  </si>
  <si>
    <t>B6.44</t>
  </si>
  <si>
    <t>B6.45</t>
  </si>
  <si>
    <t>B6.46</t>
  </si>
  <si>
    <t>B6.47</t>
  </si>
  <si>
    <t>B6.48</t>
  </si>
  <si>
    <t>B6.49</t>
  </si>
  <si>
    <t>B6.50</t>
  </si>
  <si>
    <t>B6.51</t>
  </si>
  <si>
    <t>B6.52</t>
  </si>
  <si>
    <t>B6.53</t>
  </si>
  <si>
    <t>B6.54</t>
  </si>
  <si>
    <t>B6.55</t>
  </si>
  <si>
    <t>B6.56</t>
  </si>
  <si>
    <t>B6.57</t>
  </si>
  <si>
    <t>B6.58</t>
  </si>
  <si>
    <t>B6.59</t>
  </si>
  <si>
    <t>B6.60</t>
  </si>
  <si>
    <t>B6.61</t>
  </si>
  <si>
    <t>B6.62</t>
  </si>
  <si>
    <t>B6.63</t>
  </si>
  <si>
    <t>B6.64</t>
  </si>
  <si>
    <t>B6.65</t>
  </si>
  <si>
    <t>B6.66</t>
  </si>
  <si>
    <t>B6.67</t>
  </si>
  <si>
    <t>B6.68</t>
  </si>
  <si>
    <t>B6.69</t>
  </si>
  <si>
    <t>B6.70</t>
  </si>
  <si>
    <t>B6.71</t>
  </si>
  <si>
    <t>B6.72</t>
  </si>
  <si>
    <t>B6.73</t>
  </si>
  <si>
    <t>B6.74</t>
  </si>
  <si>
    <t>B6.75</t>
  </si>
  <si>
    <t>B6.76</t>
  </si>
  <si>
    <t>B6.77</t>
  </si>
  <si>
    <t>B6.78</t>
  </si>
  <si>
    <t>B6.79</t>
  </si>
  <si>
    <t>B6.80</t>
  </si>
  <si>
    <t>B6.81</t>
  </si>
  <si>
    <t>B6.82</t>
  </si>
  <si>
    <t>B6.83</t>
  </si>
  <si>
    <t>B6.84</t>
  </si>
  <si>
    <t>B6.85</t>
  </si>
  <si>
    <t>B6.86</t>
  </si>
  <si>
    <t>B6.87</t>
  </si>
  <si>
    <t>B6.88</t>
  </si>
  <si>
    <t>B6.89</t>
  </si>
  <si>
    <t>B6.90</t>
  </si>
  <si>
    <t>B6.91</t>
  </si>
  <si>
    <t>B6.92</t>
  </si>
  <si>
    <t>B6.93</t>
  </si>
  <si>
    <t>B6.94</t>
  </si>
  <si>
    <t>B6.95</t>
  </si>
  <si>
    <t>B6.96</t>
  </si>
  <si>
    <t>B6.97</t>
  </si>
  <si>
    <t>B6.98</t>
  </si>
  <si>
    <t>B6.99</t>
  </si>
  <si>
    <t>B6.100</t>
  </si>
  <si>
    <t>B6.101</t>
  </si>
  <si>
    <t>B6.102</t>
  </si>
  <si>
    <t>B6.103</t>
  </si>
  <si>
    <t>B6.104</t>
  </si>
  <si>
    <t>B6.105</t>
  </si>
  <si>
    <t>B6.106</t>
  </si>
  <si>
    <t>B6.107</t>
  </si>
  <si>
    <t>B6.108</t>
  </si>
  <si>
    <t>B6.109</t>
  </si>
  <si>
    <t>B6.110</t>
  </si>
  <si>
    <t>B6.111</t>
  </si>
  <si>
    <t>B6.112</t>
  </si>
  <si>
    <t>Location of Radio Transmitter</t>
  </si>
  <si>
    <t>Assumption</t>
  </si>
  <si>
    <r>
      <rPr>
        <b/>
        <sz val="11"/>
        <color theme="1"/>
        <rFont val="Calibri"/>
        <family val="2"/>
      </rPr>
      <t xml:space="preserve">Supply of a Cellular Radio Transmitter:
</t>
    </r>
    <r>
      <rPr>
        <sz val="11"/>
        <color theme="1"/>
        <rFont val="Calibri"/>
        <family val="2"/>
      </rPr>
      <t xml:space="preserve">Supplied during a meter change out, retrofit or upgrade.  Includes wire, backplate, mounting equipment, and consumables (invoiced on successful installation).
</t>
    </r>
    <r>
      <rPr>
        <b/>
        <sz val="11"/>
        <color theme="1"/>
        <rFont val="Calibri"/>
        <family val="2"/>
      </rPr>
      <t xml:space="preserve"> </t>
    </r>
  </si>
  <si>
    <t>B6.113</t>
  </si>
  <si>
    <t>Radio Transmitter - Inside</t>
  </si>
  <si>
    <t>Radio Transmitter - Outside</t>
  </si>
  <si>
    <t>Inflation:</t>
  </si>
  <si>
    <t>AMI Radio Transmitter Warranty Costs</t>
  </si>
  <si>
    <t>Water Meter Warranty Costs</t>
  </si>
  <si>
    <r>
      <rPr>
        <b/>
        <sz val="11"/>
        <rFont val="Calibri"/>
        <family val="2"/>
      </rPr>
      <t>Outside Radio Repair Costs:</t>
    </r>
    <r>
      <rPr>
        <sz val="11"/>
        <rFont val="Calibri"/>
        <family val="2"/>
      </rPr>
      <t xml:space="preserve">
Additional costs based on % of outside radio transmitter installations.  (Additional wire cuts, damage on radio's due to vandalism and tampering.</t>
    </r>
  </si>
  <si>
    <t>Assumed Labour Costs</t>
  </si>
  <si>
    <r>
      <rPr>
        <b/>
        <sz val="11"/>
        <rFont val="Calibri"/>
        <family val="2"/>
      </rPr>
      <t>Failed Small Meter Costs:</t>
    </r>
    <r>
      <rPr>
        <sz val="11"/>
        <rFont val="Calibri"/>
        <family val="2"/>
      </rPr>
      <t xml:space="preserve">
Additional costs based on % of small meter failures.</t>
    </r>
  </si>
  <si>
    <r>
      <rPr>
        <b/>
        <sz val="11"/>
        <rFont val="Calibri"/>
        <family val="2"/>
      </rPr>
      <t>Failed Intermediate Costs:</t>
    </r>
    <r>
      <rPr>
        <sz val="11"/>
        <rFont val="Calibri"/>
        <family val="2"/>
      </rPr>
      <t xml:space="preserve">
Additional costs based on % of intermediate meter failures.</t>
    </r>
  </si>
  <si>
    <r>
      <rPr>
        <b/>
        <sz val="11"/>
        <rFont val="Calibri"/>
        <family val="2"/>
      </rPr>
      <t>Failed Large Costs:</t>
    </r>
    <r>
      <rPr>
        <sz val="11"/>
        <rFont val="Calibri"/>
        <family val="2"/>
      </rPr>
      <t xml:space="preserve">
Additional costs based on % of large meter failures.</t>
    </r>
  </si>
  <si>
    <t>AMI Radio Transmitter Warranty Risk</t>
  </si>
  <si>
    <t>Warranty escalator</t>
  </si>
  <si>
    <r>
      <rPr>
        <b/>
        <sz val="11"/>
        <rFont val="Calibri"/>
        <family val="2"/>
      </rPr>
      <t>Failed Radio Costs:</t>
    </r>
    <r>
      <rPr>
        <sz val="11"/>
        <rFont val="Calibri"/>
        <family val="2"/>
      </rPr>
      <t xml:space="preserve">
Additional costs due to premature radio transmitter failure.
</t>
    </r>
  </si>
  <si>
    <t>B6.114</t>
  </si>
  <si>
    <t>B6.115</t>
  </si>
  <si>
    <t>B6.116</t>
  </si>
  <si>
    <t>B6.117</t>
  </si>
  <si>
    <t>B6.118</t>
  </si>
  <si>
    <t xml:space="preserve">Operational and Warranty Impacts </t>
  </si>
  <si>
    <t>Operational Response</t>
  </si>
  <si>
    <t>Operational Response Costs (Radio Transmitter and meter failures)</t>
  </si>
  <si>
    <r>
      <rPr>
        <b/>
        <sz val="11"/>
        <color theme="1"/>
        <rFont val="Calibri"/>
        <family val="2"/>
      </rPr>
      <t xml:space="preserve">% of Radio Transmitters Located Outside
</t>
    </r>
    <r>
      <rPr>
        <sz val="11"/>
        <color theme="1"/>
        <rFont val="Calibri"/>
        <family val="2"/>
      </rPr>
      <t xml:space="preserve">Based on the provided propagation study, provide the percentage of radio transmitters that will be installed on the outside of the premise.
</t>
    </r>
    <r>
      <rPr>
        <b/>
        <sz val="11"/>
        <color theme="1"/>
        <rFont val="Calibri"/>
        <family val="2"/>
      </rPr>
      <t>Note:  The % of outside installations is capped at 5%.</t>
    </r>
    <r>
      <rPr>
        <sz val="11"/>
        <color theme="1"/>
        <rFont val="Calibri"/>
        <family val="2"/>
      </rPr>
      <t xml:space="preserve">
</t>
    </r>
  </si>
  <si>
    <t>B3.1</t>
  </si>
  <si>
    <t>B3.2</t>
  </si>
  <si>
    <t>B3.3</t>
  </si>
  <si>
    <t>B3.4</t>
  </si>
  <si>
    <t>B3.5</t>
  </si>
  <si>
    <t>B3.6</t>
  </si>
  <si>
    <t>B3.7</t>
  </si>
  <si>
    <t>B3.8</t>
  </si>
  <si>
    <t>B3.9</t>
  </si>
  <si>
    <t>B3.10</t>
  </si>
  <si>
    <t>B3.11</t>
  </si>
  <si>
    <t>B3.12</t>
  </si>
  <si>
    <t>B3.13</t>
  </si>
  <si>
    <t>B3.14</t>
  </si>
  <si>
    <t>B3.15</t>
  </si>
  <si>
    <t>B3.16</t>
  </si>
  <si>
    <t>B3.17</t>
  </si>
  <si>
    <t>B3.18</t>
  </si>
  <si>
    <t>B3.19</t>
  </si>
  <si>
    <t>B3.20</t>
  </si>
  <si>
    <t>B4.9</t>
  </si>
  <si>
    <t>B4.10</t>
  </si>
  <si>
    <t>B4.11</t>
  </si>
  <si>
    <t>B4.12</t>
  </si>
  <si>
    <t>B4.25</t>
  </si>
  <si>
    <t>B4.26</t>
  </si>
  <si>
    <t>B4.27</t>
  </si>
  <si>
    <t>B4.28</t>
  </si>
  <si>
    <t>Operational Impact and Warranty</t>
  </si>
  <si>
    <t xml:space="preserve"> Where an application can be provided as both a SaaS or Hosted system the SaaS pricing shall be included on Tab B6, the Optional Hosted solution may be submitted on Tab B7 Options</t>
  </si>
  <si>
    <t>SaaS escalator(annual)</t>
  </si>
  <si>
    <t>AMI Network Services escalator(annual)</t>
  </si>
  <si>
    <r>
      <rPr>
        <b/>
        <sz val="11"/>
        <color theme="1"/>
        <rFont val="Calibri"/>
        <family val="2"/>
      </rPr>
      <t xml:space="preserve">Supply of a RF Pit Radio Transmitter:
</t>
    </r>
    <r>
      <rPr>
        <sz val="11"/>
        <color theme="1"/>
        <rFont val="Calibri"/>
        <family val="2"/>
      </rPr>
      <t xml:space="preserve">Includes wire, wire connector, backplate, through the lid antenna and mounting equipment (where applicable), and consumables (invoiced on install).
</t>
    </r>
    <r>
      <rPr>
        <b/>
        <sz val="11"/>
        <color theme="1"/>
        <rFont val="Calibri"/>
        <family val="2"/>
      </rPr>
      <t xml:space="preserve">Note: Only provide the costs of the AMI radio transmitter.  If an integrated meter and radio transmitter product is being proposed, all costs are to be entered in table B1 Water Meter Supply.  </t>
    </r>
  </si>
  <si>
    <t>RF Pit Meter</t>
  </si>
  <si>
    <r>
      <rPr>
        <b/>
        <sz val="11"/>
        <color theme="1"/>
        <rFont val="Calibri"/>
        <family val="2"/>
      </rPr>
      <t xml:space="preserve">Supply of a RF Radio Transmitter:
</t>
    </r>
    <r>
      <rPr>
        <sz val="11"/>
        <color theme="1"/>
        <rFont val="Calibri"/>
        <family val="2"/>
      </rPr>
      <t>Includes wire, backplate, mounting equipment, and consumables.  Products are invoiced upon accepted delivery.</t>
    </r>
  </si>
  <si>
    <t>2026 - Extended</t>
  </si>
  <si>
    <t>2027 - Extended</t>
  </si>
  <si>
    <t>2028 - Extended</t>
  </si>
  <si>
    <t>2030 - Extended</t>
  </si>
  <si>
    <t>B6 - Life Cycle Cost - Years 1-5</t>
  </si>
  <si>
    <t>Life Cycle Cost - B6</t>
  </si>
  <si>
    <t>d)      All quantities provided in the attached are estimates based on The City of Winnipeg's ("The City") meter population as of June 2025. The City makes no guarantees on the actual quantities that will be required in the project.</t>
  </si>
  <si>
    <r>
      <rPr>
        <b/>
        <sz val="11"/>
        <color theme="1"/>
        <rFont val="Calibri"/>
        <family val="2"/>
      </rPr>
      <t>Supply of pressure and temperature devices:</t>
    </r>
    <r>
      <rPr>
        <sz val="11"/>
        <color theme="1"/>
        <rFont val="Calibri"/>
        <family val="2"/>
      </rPr>
      <t xml:space="preserve">
The supply of pressure and temperature monitoring devices either as a part of the water meter (premium) or as independent devices, at Winnipeg approved locations.
Products are invoiced with an accepted installation.</t>
    </r>
  </si>
  <si>
    <t>Life Cycle Cost - Years 1-5</t>
  </si>
  <si>
    <t>5 Year Solution Cost</t>
  </si>
  <si>
    <t>B5 - Year One SaaS &amp; AMI Network Costs</t>
  </si>
  <si>
    <r>
      <rPr>
        <b/>
        <sz val="11"/>
        <rFont val="Calibri"/>
        <family val="2"/>
      </rPr>
      <t>AMI Network Services:</t>
    </r>
    <r>
      <rPr>
        <sz val="11"/>
        <rFont val="Calibri"/>
        <family val="2"/>
      </rPr>
      <t xml:space="preserve">
Proponent to fill in quantity based on the quantity of data collection equipment.  Include network monitoring, remote and on-site equipment investigation, repair and replacement for the life of the system.</t>
    </r>
  </si>
  <si>
    <t>B6.119</t>
  </si>
  <si>
    <t>B6.120</t>
  </si>
  <si>
    <t>Ongoing SaaS &amp; AMI Network Costs (Years 6-20)</t>
  </si>
  <si>
    <t>B1.13</t>
  </si>
  <si>
    <t xml:space="preserve">e)     MRST will be applied to all items separately.   </t>
  </si>
  <si>
    <t>B6 Life Cycle Cost</t>
  </si>
  <si>
    <r>
      <t>1.</t>
    </r>
    <r>
      <rPr>
        <b/>
        <sz val="7"/>
        <color theme="1"/>
        <rFont val="Calibri"/>
        <family val="2"/>
      </rPr>
      <t xml:space="preserve">     </t>
    </r>
    <r>
      <rPr>
        <b/>
        <sz val="11"/>
        <color theme="1"/>
        <rFont val="Calibri"/>
        <family val="2"/>
      </rPr>
      <t xml:space="preserve">Instructions on How to Provide Pricing </t>
    </r>
  </si>
  <si>
    <r>
      <t>·</t>
    </r>
    <r>
      <rPr>
        <sz val="7"/>
        <color theme="1"/>
        <rFont val="Calibri"/>
        <family val="2"/>
      </rPr>
      <t xml:space="preserve">       </t>
    </r>
    <r>
      <rPr>
        <sz val="11"/>
        <color theme="1"/>
        <rFont val="Calibri"/>
        <family val="2"/>
      </rPr>
      <t xml:space="preserve">Where a line item requires the proponent to enter a quantity, the quantity shall be an integer (whole number no decimals). </t>
    </r>
  </si>
  <si>
    <r>
      <t>·</t>
    </r>
    <r>
      <rPr>
        <sz val="7"/>
        <color theme="1"/>
        <rFont val="Calibri"/>
        <family val="2"/>
      </rPr>
      <t xml:space="preserve">       </t>
    </r>
    <r>
      <rPr>
        <sz val="11"/>
        <color theme="1"/>
        <rFont val="Calibri"/>
        <family val="2"/>
      </rPr>
      <t>Quantities and prices in grey are not required.</t>
    </r>
  </si>
  <si>
    <r>
      <t>·</t>
    </r>
    <r>
      <rPr>
        <sz val="7"/>
        <color theme="1"/>
        <rFont val="Calibri"/>
        <family val="2"/>
      </rPr>
      <t xml:space="preserve">       </t>
    </r>
    <r>
      <rPr>
        <sz val="11"/>
        <color theme="1"/>
        <rFont val="Calibri"/>
        <family val="2"/>
      </rPr>
      <t xml:space="preserve">“Proponent Proposed?” column must be filled in with a “Yes” or “No”. </t>
    </r>
  </si>
  <si>
    <r>
      <t>·</t>
    </r>
    <r>
      <rPr>
        <sz val="7"/>
        <color theme="1"/>
        <rFont val="Calibri"/>
        <family val="2"/>
      </rPr>
      <t xml:space="preserve">       </t>
    </r>
    <r>
      <rPr>
        <sz val="11"/>
        <color theme="1"/>
        <rFont val="Calibri"/>
        <family val="2"/>
      </rPr>
      <t xml:space="preserve">Where the financial proposal does not fit into the protected form, the proponent shall request a change to the Price Form Workbook prior to the Deadline for Questions. </t>
    </r>
  </si>
  <si>
    <r>
      <t>·</t>
    </r>
    <r>
      <rPr>
        <sz val="7"/>
        <color theme="1"/>
        <rFont val="Calibri"/>
        <family val="2"/>
      </rPr>
      <t>      </t>
    </r>
    <r>
      <rPr>
        <sz val="11"/>
        <color theme="1"/>
        <rFont val="Calibri"/>
        <family val="2"/>
      </rPr>
      <t xml:space="preserve">If an item is marked as Milestone, vendor will provide total price for that item. If the item is marked as Unit Price, vendor will provide the unit price, and will calculate the total price based on the quoted unit price and the quantity indicated by the City on the price form. </t>
    </r>
  </si>
  <si>
    <r>
      <t>·</t>
    </r>
    <r>
      <rPr>
        <sz val="7"/>
        <color theme="1"/>
        <rFont val="Calibri"/>
        <family val="2"/>
      </rPr>
      <t>     </t>
    </r>
    <r>
      <rPr>
        <sz val="11"/>
        <color theme="1"/>
        <rFont val="Calibri"/>
        <family val="2"/>
      </rPr>
      <t xml:space="preserve">Unit Price: The vendor will be compensated for the number of units delivered at the agreed upon Unit Price. </t>
    </r>
  </si>
  <si>
    <r>
      <t>·</t>
    </r>
    <r>
      <rPr>
        <sz val="7"/>
        <color theme="1"/>
        <rFont val="Calibri"/>
        <family val="2"/>
      </rPr>
      <t>     </t>
    </r>
    <r>
      <rPr>
        <sz val="11"/>
        <color theme="1"/>
        <rFont val="Calibri"/>
        <family val="2"/>
      </rPr>
      <t>Prices should be rounded to the penny</t>
    </r>
  </si>
  <si>
    <r>
      <t xml:space="preserve">Tab </t>
    </r>
    <r>
      <rPr>
        <b/>
        <i/>
        <sz val="11"/>
        <color rgb="FFFF0000"/>
        <rFont val="Calibri"/>
        <family val="2"/>
      </rPr>
      <t xml:space="preserve">B1 Water Meter Supply </t>
    </r>
    <r>
      <rPr>
        <b/>
        <sz val="11"/>
        <color theme="1"/>
        <rFont val="Calibri"/>
        <family val="2"/>
      </rPr>
      <t xml:space="preserve">Instructions: </t>
    </r>
  </si>
  <si>
    <r>
      <t>·</t>
    </r>
    <r>
      <rPr>
        <sz val="7"/>
        <color theme="1"/>
        <rFont val="Calibri"/>
        <family val="2"/>
      </rPr>
      <t xml:space="preserve">       </t>
    </r>
    <r>
      <rPr>
        <sz val="11"/>
        <color theme="1"/>
        <rFont val="Calibri"/>
        <family val="2"/>
      </rPr>
      <t xml:space="preserve">Proponents shall provide unit pricing for each meter size, for each year. </t>
    </r>
  </si>
  <si>
    <r>
      <t>·</t>
    </r>
    <r>
      <rPr>
        <sz val="7"/>
        <color theme="1"/>
        <rFont val="Calibri"/>
        <family val="2"/>
      </rPr>
      <t xml:space="preserve">       </t>
    </r>
    <r>
      <rPr>
        <sz val="11"/>
        <color theme="1"/>
        <rFont val="Calibri"/>
        <family val="2"/>
      </rPr>
      <t xml:space="preserve">All quantities are provided in Tab B1A Meter Qty by Year. </t>
    </r>
  </si>
  <si>
    <r>
      <t xml:space="preserve">Tab </t>
    </r>
    <r>
      <rPr>
        <b/>
        <i/>
        <sz val="11"/>
        <color rgb="FFFF0000"/>
        <rFont val="Calibri"/>
        <family val="2"/>
      </rPr>
      <t xml:space="preserve">B1A Meter Qty by Year </t>
    </r>
    <r>
      <rPr>
        <b/>
        <sz val="11"/>
        <color theme="1"/>
        <rFont val="Calibri"/>
        <family val="2"/>
      </rPr>
      <t xml:space="preserve">Instructions: </t>
    </r>
  </si>
  <si>
    <r>
      <t>·</t>
    </r>
    <r>
      <rPr>
        <sz val="7"/>
        <color theme="1"/>
        <rFont val="Calibri"/>
        <family val="2"/>
      </rPr>
      <t>      </t>
    </r>
    <r>
      <rPr>
        <sz val="11"/>
        <color theme="1"/>
        <rFont val="Calibri"/>
        <family val="2"/>
      </rPr>
      <t xml:space="preserve">Proponents shall enter the % of Radio Transmitters to be installed on the outside of the premise. Note there is a 5% maximum for this value.  </t>
    </r>
  </si>
  <si>
    <r>
      <t xml:space="preserve">Tab </t>
    </r>
    <r>
      <rPr>
        <b/>
        <i/>
        <sz val="11"/>
        <color rgb="FFFF0000"/>
        <rFont val="Calibri"/>
        <family val="2"/>
      </rPr>
      <t>B2 AMI Network &amp; Radio</t>
    </r>
    <r>
      <rPr>
        <b/>
        <sz val="11"/>
        <color rgb="FFFF0000"/>
        <rFont val="Calibri"/>
        <family val="2"/>
      </rPr>
      <t xml:space="preserve"> </t>
    </r>
    <r>
      <rPr>
        <b/>
        <sz val="11"/>
        <color theme="1"/>
        <rFont val="Calibri"/>
        <family val="2"/>
      </rPr>
      <t xml:space="preserve">Instructions: </t>
    </r>
  </si>
  <si>
    <r>
      <t>·</t>
    </r>
    <r>
      <rPr>
        <sz val="7"/>
        <color theme="1"/>
        <rFont val="Calibri"/>
        <family val="2"/>
      </rPr>
      <t xml:space="preserve">       </t>
    </r>
    <r>
      <rPr>
        <sz val="11"/>
        <color theme="1"/>
        <rFont val="Calibri"/>
        <family val="2"/>
      </rPr>
      <t xml:space="preserve">Items B2.10 to B2.12 – The total quantity of these line items shall equal the total quantity of line items B2.6 to B2.7. </t>
    </r>
  </si>
  <si>
    <r>
      <t>·</t>
    </r>
    <r>
      <rPr>
        <sz val="7"/>
        <color theme="1"/>
        <rFont val="Calibri"/>
        <family val="2"/>
      </rPr>
      <t xml:space="preserve">       </t>
    </r>
    <r>
      <rPr>
        <sz val="11"/>
        <color theme="1"/>
        <rFont val="Calibri"/>
        <family val="2"/>
      </rPr>
      <t xml:space="preserve">Items B2.13 to B2.15 – The total quantity of these line items shall equal the total quantity of line items B2.8 to B2.9. </t>
    </r>
  </si>
  <si>
    <r>
      <t xml:space="preserve">Tab </t>
    </r>
    <r>
      <rPr>
        <b/>
        <i/>
        <sz val="11"/>
        <color rgb="FFFF0000"/>
        <rFont val="Calibri"/>
        <family val="2"/>
      </rPr>
      <t xml:space="preserve">B2A Radio Qty by Year </t>
    </r>
    <r>
      <rPr>
        <b/>
        <sz val="11"/>
        <color theme="1"/>
        <rFont val="Calibri"/>
        <family val="2"/>
      </rPr>
      <t xml:space="preserve">Instructions: </t>
    </r>
  </si>
  <si>
    <r>
      <t>·</t>
    </r>
    <r>
      <rPr>
        <sz val="7"/>
        <color theme="1"/>
        <rFont val="Calibri"/>
        <family val="2"/>
      </rPr>
      <t>      </t>
    </r>
    <r>
      <rPr>
        <sz val="11"/>
        <color theme="1"/>
        <rFont val="Calibri"/>
        <family val="2"/>
      </rPr>
      <t xml:space="preserve">Provides the number of AMI Radio Transmitters installed per meter size, per year. </t>
    </r>
  </si>
  <si>
    <r>
      <t xml:space="preserve">Tab </t>
    </r>
    <r>
      <rPr>
        <b/>
        <i/>
        <sz val="11"/>
        <color rgb="FFFF0000"/>
        <rFont val="Calibri"/>
        <family val="2"/>
      </rPr>
      <t>B3 Software Implementation &amp; Training</t>
    </r>
    <r>
      <rPr>
        <b/>
        <sz val="11"/>
        <color theme="1"/>
        <rFont val="Calibri"/>
        <family val="2"/>
      </rPr>
      <t xml:space="preserve"> Instructions: </t>
    </r>
  </si>
  <si>
    <r>
      <t>·</t>
    </r>
    <r>
      <rPr>
        <sz val="7"/>
        <color theme="1"/>
        <rFont val="Calibri"/>
        <family val="2"/>
      </rPr>
      <t xml:space="preserve">       </t>
    </r>
    <r>
      <rPr>
        <sz val="11"/>
        <color theme="1"/>
        <rFont val="Calibri"/>
        <family val="2"/>
      </rPr>
      <t>Implementation Disbursement will be invoiced based on actual cost incurred.</t>
    </r>
  </si>
  <si>
    <r>
      <t>·</t>
    </r>
    <r>
      <rPr>
        <sz val="7"/>
        <color theme="1"/>
        <rFont val="Calibri"/>
        <family val="2"/>
      </rPr>
      <t xml:space="preserve">       </t>
    </r>
    <r>
      <rPr>
        <sz val="11"/>
        <color theme="1"/>
        <rFont val="Calibri"/>
        <family val="2"/>
      </rPr>
      <t>The quantities on this tab represent a one year estimate of the volume of work to be expected.</t>
    </r>
  </si>
  <si>
    <r>
      <t xml:space="preserve">Tab </t>
    </r>
    <r>
      <rPr>
        <b/>
        <i/>
        <sz val="11"/>
        <color rgb="FFFF0000"/>
        <rFont val="Calibri"/>
        <family val="2"/>
      </rPr>
      <t>B4 Product Supply for City Use</t>
    </r>
    <r>
      <rPr>
        <b/>
        <sz val="11"/>
        <color theme="1"/>
        <rFont val="Calibri"/>
        <family val="2"/>
      </rPr>
      <t xml:space="preserve"> Instructions: </t>
    </r>
  </si>
  <si>
    <r>
      <t>·</t>
    </r>
    <r>
      <rPr>
        <sz val="7"/>
        <color theme="1"/>
        <rFont val="Calibri"/>
        <family val="2"/>
      </rPr>
      <t xml:space="preserve">       </t>
    </r>
    <r>
      <rPr>
        <sz val="11"/>
        <color theme="1"/>
        <rFont val="Calibri"/>
        <family val="2"/>
      </rPr>
      <t xml:space="preserve">All quantities are provided in tab B4A City Use Qty by Year. </t>
    </r>
  </si>
  <si>
    <r>
      <t>·</t>
    </r>
    <r>
      <rPr>
        <sz val="7"/>
        <color theme="1"/>
        <rFont val="Calibri"/>
        <family val="2"/>
      </rPr>
      <t xml:space="preserve">       </t>
    </r>
    <r>
      <rPr>
        <sz val="11"/>
        <color theme="1"/>
        <rFont val="Calibri"/>
        <family val="2"/>
      </rPr>
      <t xml:space="preserve">Proponents shall provide unit pricing. </t>
    </r>
  </si>
  <si>
    <r>
      <t xml:space="preserve">Tab </t>
    </r>
    <r>
      <rPr>
        <b/>
        <i/>
        <sz val="11"/>
        <color rgb="FFFF0000"/>
        <rFont val="Calibri"/>
        <family val="2"/>
      </rPr>
      <t xml:space="preserve">B4A Radio Qty by Year </t>
    </r>
    <r>
      <rPr>
        <b/>
        <sz val="11"/>
        <color theme="1"/>
        <rFont val="Calibri"/>
        <family val="2"/>
      </rPr>
      <t xml:space="preserve">Instructions: </t>
    </r>
  </si>
  <si>
    <r>
      <t xml:space="preserve">Tab </t>
    </r>
    <r>
      <rPr>
        <b/>
        <i/>
        <sz val="11"/>
        <color rgb="FFFF0000"/>
        <rFont val="Calibri"/>
        <family val="2"/>
      </rPr>
      <t>B5 Year 1 SaaS &amp; AMI Network Service</t>
    </r>
    <r>
      <rPr>
        <b/>
        <sz val="11"/>
        <color theme="1"/>
        <rFont val="Calibri"/>
        <family val="2"/>
      </rPr>
      <t xml:space="preserve"> Instructions:</t>
    </r>
  </si>
  <si>
    <r>
      <t>·</t>
    </r>
    <r>
      <rPr>
        <sz val="7"/>
        <color theme="1"/>
        <rFont val="Calibri"/>
        <family val="2"/>
      </rPr>
      <t xml:space="preserve">       </t>
    </r>
    <r>
      <rPr>
        <sz val="11"/>
        <color theme="1"/>
        <rFont val="Calibri"/>
        <family val="2"/>
      </rPr>
      <t xml:space="preserve">Proponent shall propose a software as a service solution (if available) for all applications (AMI Data Collection, AMI Software). Where a proponent does not have a SaaS solution for a particular application, a Hosted solution including software support and maintenance shall be proposed instead. </t>
    </r>
  </si>
  <si>
    <r>
      <t>·</t>
    </r>
    <r>
      <rPr>
        <sz val="7"/>
        <color theme="1"/>
        <rFont val="Calibri"/>
        <family val="2"/>
      </rPr>
      <t xml:space="preserve">       </t>
    </r>
    <r>
      <rPr>
        <sz val="11"/>
        <color theme="1"/>
        <rFont val="Calibri"/>
        <family val="2"/>
      </rPr>
      <t>Columns L to S represent the total annual cost of years 2 to 5 of the agreement after the price increase.</t>
    </r>
  </si>
  <si>
    <r>
      <t>·</t>
    </r>
    <r>
      <rPr>
        <sz val="7"/>
        <color theme="1"/>
        <rFont val="Calibri"/>
        <family val="2"/>
      </rPr>
      <t xml:space="preserve">       </t>
    </r>
    <r>
      <rPr>
        <sz val="11"/>
        <color theme="1"/>
        <rFont val="Calibri"/>
        <family val="2"/>
      </rPr>
      <t>Item B5.4 shall be consistent with the total number of data collectors proposed in tab B2 AMI Network and Radio.</t>
    </r>
  </si>
  <si>
    <r>
      <t>·</t>
    </r>
    <r>
      <rPr>
        <sz val="7"/>
        <color theme="1"/>
        <rFont val="Calibri"/>
        <family val="2"/>
      </rPr>
      <t xml:space="preserve">       </t>
    </r>
    <r>
      <rPr>
        <sz val="11"/>
        <color theme="1"/>
        <rFont val="Calibri"/>
        <family val="2"/>
      </rPr>
      <t xml:space="preserve">Item B5.5 is based on the total number of cellular endpoints proposed. </t>
    </r>
  </si>
  <si>
    <r>
      <t>·</t>
    </r>
    <r>
      <rPr>
        <sz val="7"/>
        <color theme="1"/>
        <rFont val="Calibri"/>
        <family val="2"/>
      </rPr>
      <t xml:space="preserve">       </t>
    </r>
    <r>
      <rPr>
        <sz val="11"/>
        <color theme="1"/>
        <rFont val="Calibri"/>
        <family val="2"/>
      </rPr>
      <t>Where an application can be provided as both a SaaS or Hosted system the SaaS pricing shall be included on Tab B5, the Optional Hosted solution may be submitted as an Option on tab B7 Optional.</t>
    </r>
  </si>
  <si>
    <r>
      <t xml:space="preserve">Tab </t>
    </r>
    <r>
      <rPr>
        <b/>
        <i/>
        <sz val="11"/>
        <color rgb="FFFF0000"/>
        <rFont val="Calibri"/>
        <family val="2"/>
      </rPr>
      <t xml:space="preserve">B5A Radio Qty by Year </t>
    </r>
    <r>
      <rPr>
        <b/>
        <sz val="11"/>
        <color theme="1"/>
        <rFont val="Calibri"/>
        <family val="2"/>
      </rPr>
      <t xml:space="preserve">Instructions: </t>
    </r>
  </si>
  <si>
    <r>
      <t>·</t>
    </r>
    <r>
      <rPr>
        <sz val="7"/>
        <color theme="1"/>
        <rFont val="Calibri"/>
        <family val="2"/>
      </rPr>
      <t xml:space="preserve">       </t>
    </r>
    <r>
      <rPr>
        <sz val="11"/>
        <color theme="1"/>
        <rFont val="Calibri"/>
        <family val="2"/>
      </rPr>
      <t xml:space="preserve"> Provides the number of AMI Radio Transmitters installed per meter size, per year. </t>
    </r>
  </si>
  <si>
    <r>
      <t xml:space="preserve">Tab </t>
    </r>
    <r>
      <rPr>
        <b/>
        <i/>
        <sz val="11"/>
        <color rgb="FFFF0000"/>
        <rFont val="Calibri"/>
        <family val="2"/>
      </rPr>
      <t xml:space="preserve">B6 Life Cycle Cost </t>
    </r>
    <r>
      <rPr>
        <b/>
        <sz val="11"/>
        <color theme="1"/>
        <rFont val="Calibri"/>
        <family val="2"/>
      </rPr>
      <t>Instructions:</t>
    </r>
  </si>
  <si>
    <r>
      <t>·</t>
    </r>
    <r>
      <rPr>
        <sz val="7"/>
        <color theme="1"/>
        <rFont val="Calibri"/>
        <family val="2"/>
      </rPr>
      <t xml:space="preserve">       </t>
    </r>
    <r>
      <rPr>
        <sz val="11"/>
        <color theme="1"/>
        <rFont val="Calibri"/>
        <family val="2"/>
      </rPr>
      <t>Proponent shall provide unit pricing for RF and Cellular radio transmitters</t>
    </r>
  </si>
  <si>
    <r>
      <t>·</t>
    </r>
    <r>
      <rPr>
        <sz val="7"/>
        <color theme="1"/>
        <rFont val="Calibri"/>
        <family val="2"/>
      </rPr>
      <t xml:space="preserve">       </t>
    </r>
    <r>
      <rPr>
        <sz val="11"/>
        <color theme="1"/>
        <rFont val="Calibri"/>
        <family val="2"/>
      </rPr>
      <t xml:space="preserve">Proponent shall provide annual escalators for warranty pricing, SaaS costs, and AMI network services costs.  </t>
    </r>
  </si>
  <si>
    <r>
      <t>·</t>
    </r>
    <r>
      <rPr>
        <sz val="7"/>
        <color theme="1"/>
        <rFont val="Calibri"/>
        <family val="2"/>
      </rPr>
      <t xml:space="preserve">       </t>
    </r>
    <r>
      <rPr>
        <sz val="11"/>
        <color theme="1"/>
        <rFont val="Calibri"/>
        <family val="2"/>
      </rPr>
      <t>The Proration percentage associated with items B6.6 to B6.25 (Radio Transmitters) shall represent the % of cost paid by the Vendor.  Where a warranty covers full replacement value, the percentage shall be 100%.</t>
    </r>
  </si>
  <si>
    <r>
      <t>·</t>
    </r>
    <r>
      <rPr>
        <sz val="7"/>
        <color theme="1"/>
        <rFont val="Calibri"/>
        <family val="2"/>
      </rPr>
      <t xml:space="preserve">       </t>
    </r>
    <r>
      <rPr>
        <sz val="11"/>
        <color theme="1"/>
        <rFont val="Calibri"/>
        <family val="2"/>
      </rPr>
      <t>Proponent shall provide unit pricing for Small water meters, items B6.26 to B6.29.</t>
    </r>
  </si>
  <si>
    <r>
      <t>·</t>
    </r>
    <r>
      <rPr>
        <sz val="7"/>
        <color theme="1"/>
        <rFont val="Calibri"/>
        <family val="2"/>
      </rPr>
      <t xml:space="preserve">       </t>
    </r>
    <r>
      <rPr>
        <sz val="11"/>
        <color theme="1"/>
        <rFont val="Calibri"/>
        <family val="2"/>
      </rPr>
      <t xml:space="preserve">Proponent shall provide the % of expected Small water meter failures in items B6.30 to B6.49.  </t>
    </r>
  </si>
  <si>
    <r>
      <t>·</t>
    </r>
    <r>
      <rPr>
        <sz val="7"/>
        <color theme="1"/>
        <rFont val="Calibri"/>
        <family val="2"/>
      </rPr>
      <t xml:space="preserve">       </t>
    </r>
    <r>
      <rPr>
        <sz val="11"/>
        <color theme="1"/>
        <rFont val="Calibri"/>
        <family val="2"/>
      </rPr>
      <t>The Proration percentage associated with items B6.30 to B6.49 (Small Meters) shall represent the % of cost paid by the Vendor.  Where a warranty covers full replacement value, the percentage shall be 100%.</t>
    </r>
  </si>
  <si>
    <r>
      <t>·</t>
    </r>
    <r>
      <rPr>
        <sz val="7"/>
        <color theme="1"/>
        <rFont val="Calibri"/>
        <family val="2"/>
      </rPr>
      <t xml:space="preserve">       </t>
    </r>
    <r>
      <rPr>
        <sz val="11"/>
        <color theme="1"/>
        <rFont val="Calibri"/>
        <family val="2"/>
      </rPr>
      <t>Proponent shall provide unit pricing for Intermediate water meters, items B6.50 to B6.51.</t>
    </r>
  </si>
  <si>
    <r>
      <t>·</t>
    </r>
    <r>
      <rPr>
        <sz val="7"/>
        <color theme="1"/>
        <rFont val="Calibri"/>
        <family val="2"/>
      </rPr>
      <t xml:space="preserve">       </t>
    </r>
    <r>
      <rPr>
        <sz val="11"/>
        <color theme="1"/>
        <rFont val="Calibri"/>
        <family val="2"/>
      </rPr>
      <t xml:space="preserve">Proponent shall provide the % of expected Intermediate water meter failures in items B6.52 to B6.71.  </t>
    </r>
  </si>
  <si>
    <r>
      <t>·</t>
    </r>
    <r>
      <rPr>
        <sz val="7"/>
        <color theme="1"/>
        <rFont val="Calibri"/>
        <family val="2"/>
      </rPr>
      <t xml:space="preserve">       </t>
    </r>
    <r>
      <rPr>
        <sz val="11"/>
        <color theme="1"/>
        <rFont val="Calibri"/>
        <family val="2"/>
      </rPr>
      <t>The Proration percentage associated with items B6.52 to B6.71 (Intermediate Meters) shall represent the % of cost paid by the Vendor.  Where a warranty covers full replacement value, the percentage shall be 100%.</t>
    </r>
  </si>
  <si>
    <r>
      <t>·</t>
    </r>
    <r>
      <rPr>
        <sz val="7"/>
        <color theme="1"/>
        <rFont val="Calibri"/>
        <family val="2"/>
      </rPr>
      <t xml:space="preserve">       </t>
    </r>
    <r>
      <rPr>
        <sz val="11"/>
        <color theme="1"/>
        <rFont val="Calibri"/>
        <family val="2"/>
      </rPr>
      <t>Proponent shall provide unit pricing for Large water meters, items B6.72 to B6.76.</t>
    </r>
  </si>
  <si>
    <r>
      <t>·</t>
    </r>
    <r>
      <rPr>
        <sz val="7"/>
        <color theme="1"/>
        <rFont val="Calibri"/>
        <family val="2"/>
      </rPr>
      <t xml:space="preserve">       </t>
    </r>
    <r>
      <rPr>
        <sz val="11"/>
        <color theme="1"/>
        <rFont val="Calibri"/>
        <family val="2"/>
      </rPr>
      <t xml:space="preserve">Proponent shall provide the % of expected Large water meter failures in items B6.77 to B6.96.  </t>
    </r>
  </si>
  <si>
    <r>
      <t>·</t>
    </r>
    <r>
      <rPr>
        <sz val="7"/>
        <color theme="1"/>
        <rFont val="Calibri"/>
        <family val="2"/>
      </rPr>
      <t xml:space="preserve">       </t>
    </r>
    <r>
      <rPr>
        <sz val="11"/>
        <color theme="1"/>
        <rFont val="Calibri"/>
        <family val="2"/>
      </rPr>
      <t>The Proration percentage associated with items B6.77 to B6.96 (Large Meters) shall represent the % of cost paid by the Vendor.  Where a warranty covers full replacement value, the percentage shall be 100%.</t>
    </r>
  </si>
  <si>
    <r>
      <t>·</t>
    </r>
    <r>
      <rPr>
        <sz val="7"/>
        <color theme="1"/>
        <rFont val="Calibri"/>
        <family val="2"/>
      </rPr>
      <t xml:space="preserve">       </t>
    </r>
    <r>
      <rPr>
        <sz val="11"/>
        <color theme="1"/>
        <rFont val="Calibri"/>
        <family val="2"/>
      </rPr>
      <t xml:space="preserve">The Cashflows section calculates the total cashflows and present value of the SaaS and AMI Network services costs, the Operational impact costs, and the Warranty costs.   </t>
    </r>
  </si>
  <si>
    <r>
      <t xml:space="preserve">Tab </t>
    </r>
    <r>
      <rPr>
        <b/>
        <i/>
        <sz val="11"/>
        <color rgb="FFFF0000"/>
        <rFont val="Calibri"/>
        <family val="2"/>
      </rPr>
      <t xml:space="preserve">B6A Radio Qty by Year </t>
    </r>
    <r>
      <rPr>
        <b/>
        <sz val="11"/>
        <color theme="1"/>
        <rFont val="Calibri"/>
        <family val="2"/>
      </rPr>
      <t xml:space="preserve">Instructions: </t>
    </r>
  </si>
  <si>
    <r>
      <t>·</t>
    </r>
    <r>
      <rPr>
        <sz val="7"/>
        <color theme="1"/>
        <rFont val="Calibri"/>
        <family val="2"/>
      </rPr>
      <t>      </t>
    </r>
    <r>
      <rPr>
        <sz val="11"/>
        <color theme="1"/>
        <rFont val="Calibri"/>
        <family val="2"/>
      </rPr>
      <t xml:space="preserve">Provides the number of AMI Radio Transmitters and Water Meters installed per meter size, per year. </t>
    </r>
  </si>
  <si>
    <r>
      <t xml:space="preserve">Tab </t>
    </r>
    <r>
      <rPr>
        <b/>
        <i/>
        <sz val="11"/>
        <color rgb="FFFF0000"/>
        <rFont val="Calibri"/>
        <family val="2"/>
      </rPr>
      <t xml:space="preserve">B7 Optional </t>
    </r>
    <r>
      <rPr>
        <b/>
        <sz val="11"/>
        <color theme="1"/>
        <rFont val="Calibri"/>
        <family val="2"/>
      </rPr>
      <t>Instructions:</t>
    </r>
  </si>
  <si>
    <r>
      <t>·</t>
    </r>
    <r>
      <rPr>
        <sz val="7"/>
        <color theme="1"/>
        <rFont val="Calibri"/>
        <family val="2"/>
      </rPr>
      <t xml:space="preserve">       </t>
    </r>
    <r>
      <rPr>
        <sz val="11"/>
        <color theme="1"/>
        <rFont val="Calibri"/>
        <family val="2"/>
      </rPr>
      <t>Provides the number of meters, AMI Radio Transmitters, and related equipment supplied, per year.</t>
    </r>
  </si>
  <si>
    <r>
      <t>·</t>
    </r>
    <r>
      <rPr>
        <sz val="7"/>
        <color theme="1"/>
        <rFont val="Calibri"/>
        <family val="2"/>
      </rPr>
      <t xml:space="preserve">       </t>
    </r>
    <r>
      <rPr>
        <sz val="11"/>
        <color theme="1"/>
        <rFont val="Calibri"/>
        <family val="2"/>
      </rPr>
      <t>Proponent shall provide the % of expected radio transmitter failures in items B6.6 to B6.25.</t>
    </r>
  </si>
  <si>
    <t>·       Assumed Labour cost represents the additional cost of maintaining an outside radio transmitters and the cost of replace failed radio transmitters based on the value entered in the warranties section.</t>
  </si>
  <si>
    <r>
      <rPr>
        <b/>
        <sz val="11"/>
        <color theme="1"/>
        <rFont val="Calibri"/>
        <family val="2"/>
      </rPr>
      <t xml:space="preserve">Onsite Equipment Training: </t>
    </r>
    <r>
      <rPr>
        <sz val="11"/>
        <color theme="1"/>
        <rFont val="Calibri"/>
        <family val="2"/>
      </rPr>
      <t xml:space="preserve">
Radio transmitter installation, maintenance and troubleshooting, operation of handheld, Data collector and repeater equipment. The trips include travel, hotel and disbursements, the number of days of training includes labour and disbursements.  </t>
    </r>
  </si>
  <si>
    <r>
      <t>·</t>
    </r>
    <r>
      <rPr>
        <sz val="7"/>
        <color theme="1"/>
        <rFont val="Calibri"/>
        <family val="2"/>
      </rPr>
      <t xml:space="preserve">       </t>
    </r>
    <r>
      <rPr>
        <sz val="11"/>
        <color theme="1"/>
        <rFont val="Calibri"/>
        <family val="2"/>
      </rPr>
      <t xml:space="preserve">Provide costing for products &amp; services for the City to consider in B7.1 to B7.7.  These Optional offerings will be considered by the City, but their costs will not be factored into the Total Solution Cost. </t>
    </r>
  </si>
  <si>
    <t>Operational Response Costs (20 years)</t>
  </si>
  <si>
    <t>Total of Software and AMI Network Cashflows (1-5 years)</t>
  </si>
  <si>
    <t>Total of Software and AMI Network Cashflows Cashflows (6-20 years)</t>
  </si>
  <si>
    <t>15mmx12mm to 25mm</t>
  </si>
  <si>
    <t>15x12mm to 25mm</t>
  </si>
  <si>
    <t>Grounding Straps</t>
  </si>
  <si>
    <t>Water Meter Composition</t>
  </si>
  <si>
    <t>Total Quantity: Not including Pressure Devices or Grounding Straps</t>
  </si>
  <si>
    <t>Meter and AMI Radio Transmitters Assumptions</t>
  </si>
  <si>
    <r>
      <t xml:space="preserve">Tab B </t>
    </r>
    <r>
      <rPr>
        <b/>
        <sz val="11"/>
        <color rgb="FFFF0000"/>
        <rFont val="Calibri"/>
        <family val="2"/>
      </rPr>
      <t>Meter and</t>
    </r>
    <r>
      <rPr>
        <b/>
        <sz val="11"/>
        <color theme="1"/>
        <rFont val="Calibri"/>
        <family val="2"/>
      </rPr>
      <t xml:space="preserve"> </t>
    </r>
    <r>
      <rPr>
        <b/>
        <i/>
        <sz val="11"/>
        <color rgb="FFFF0000"/>
        <rFont val="Calibri"/>
        <family val="2"/>
      </rPr>
      <t>Radio Assumptions</t>
    </r>
    <r>
      <rPr>
        <b/>
        <sz val="11"/>
        <color rgb="FFFF0000"/>
        <rFont val="Calibri"/>
        <family val="2"/>
      </rPr>
      <t xml:space="preserve"> </t>
    </r>
    <r>
      <rPr>
        <b/>
        <sz val="11"/>
        <color theme="1"/>
        <rFont val="Calibri"/>
        <family val="2"/>
      </rPr>
      <t xml:space="preserve">Instructions: </t>
    </r>
  </si>
  <si>
    <r>
      <t>·</t>
    </r>
    <r>
      <rPr>
        <sz val="7"/>
        <color theme="1"/>
        <rFont val="Calibri"/>
        <family val="2"/>
      </rPr>
      <t xml:space="preserve">       </t>
    </r>
    <r>
      <rPr>
        <sz val="11"/>
        <color theme="1"/>
        <rFont val="Calibri"/>
        <family val="2"/>
      </rPr>
      <t xml:space="preserve">If water meter is non-metallic, enter unit price for grounding straps.  </t>
    </r>
  </si>
  <si>
    <r>
      <t>·</t>
    </r>
    <r>
      <rPr>
        <sz val="7"/>
        <color theme="1"/>
        <rFont val="Calibri"/>
        <family val="2"/>
      </rPr>
      <t>      </t>
    </r>
    <r>
      <rPr>
        <sz val="11"/>
        <color theme="1"/>
        <rFont val="Calibri"/>
        <family val="2"/>
      </rPr>
      <t>Proponents shall enter the % of Cellular Radio Transmitters to be installed.  This will become the upset limit of allowable cellular units.</t>
    </r>
  </si>
  <si>
    <r>
      <t>Supply of grounding straps for non-metallic meters:</t>
    </r>
    <r>
      <rPr>
        <sz val="11"/>
        <color theme="1"/>
        <rFont val="Calibri"/>
        <family val="2"/>
      </rPr>
      <t xml:space="preserve">
Supply of grounding straps consisting of two bronze grounding clamps and #6 AWG copper grounding wire of sufficient length to be installed across the new meter.  </t>
    </r>
  </si>
  <si>
    <r>
      <t>·</t>
    </r>
    <r>
      <rPr>
        <sz val="7"/>
        <color theme="1"/>
        <rFont val="Calibri"/>
        <family val="2"/>
      </rPr>
      <t>      </t>
    </r>
    <r>
      <rPr>
        <sz val="11"/>
        <color theme="1"/>
        <rFont val="Calibri"/>
        <family val="2"/>
      </rPr>
      <t xml:space="preserve">Provides the number of meter replacements, pressure devices, and ground straps (if non-metallic meters are proposed) per meter size, per year. </t>
    </r>
  </si>
  <si>
    <t>B1.23</t>
  </si>
  <si>
    <t>497-2025_NRFP_Schedule_D–Pricing_Form</t>
  </si>
  <si>
    <r>
      <t>b)</t>
    </r>
    <r>
      <rPr>
        <sz val="7"/>
        <color theme="1"/>
        <rFont val="Calibri"/>
        <family val="2"/>
      </rPr>
      <t xml:space="preserve">            </t>
    </r>
    <r>
      <rPr>
        <sz val="11"/>
        <color theme="1"/>
        <rFont val="Calibri"/>
        <family val="2"/>
      </rPr>
      <t xml:space="preserve">Proponents should provide the information requested in attached Excel file: 497-2025_NRFP_Schedule_D-Pricing_Form. </t>
    </r>
  </si>
  <si>
    <r>
      <t>2.</t>
    </r>
    <r>
      <rPr>
        <b/>
        <sz val="7"/>
        <color theme="1"/>
        <rFont val="Calibri"/>
        <family val="2"/>
      </rPr>
      <t xml:space="preserve">     </t>
    </r>
    <r>
      <rPr>
        <b/>
        <sz val="11"/>
        <color theme="1"/>
        <rFont val="Calibri"/>
        <family val="2"/>
      </rPr>
      <t xml:space="preserve">497-2025_NRFP_Schedule_D–Pricing Form </t>
    </r>
    <r>
      <rPr>
        <b/>
        <sz val="11"/>
        <color rgb="FFFF0000"/>
        <rFont val="Calibri"/>
        <family val="2"/>
      </rPr>
      <t>Instructions</t>
    </r>
  </si>
  <si>
    <t xml:space="preserve">When completing 497-2025_NRFP_Schedule_D-Pricing_Form proponents are to comply with the instructions below. </t>
  </si>
  <si>
    <r>
      <t>·</t>
    </r>
    <r>
      <rPr>
        <sz val="7"/>
        <color theme="1"/>
        <rFont val="Calibri"/>
        <family val="2"/>
      </rPr>
      <t>     </t>
    </r>
    <r>
      <rPr>
        <sz val="11"/>
        <color theme="1"/>
        <rFont val="Calibri"/>
        <family val="2"/>
      </rPr>
      <t>If the vendor makes any mathematical errors on its Price Form Workbook (497-2025_NRFP_Schedule_D-Pricing_Form), the City will correct those errors as follows: the Unit Price stated on the fee table by the vendor shall be accepted as being correct; the actual sum and extension based upon the unit price and quantity shall then govern; and the unofficial total shall be revised accordingly. The City also reserves the right to correct any mathematical errors in the summation of the extensions, and to correct any errors made in transferring (recopying) the figures.</t>
    </r>
  </si>
  <si>
    <t>497-2025_NRFP_Schedule_D–Pricing_Form Instructions</t>
  </si>
  <si>
    <r>
      <rPr>
        <b/>
        <sz val="11"/>
        <color theme="1"/>
        <rFont val="Calibri"/>
        <family val="2"/>
      </rPr>
      <t xml:space="preserve">Water Meter Composition:
</t>
    </r>
    <r>
      <rPr>
        <sz val="11"/>
        <color theme="1"/>
        <rFont val="Calibri"/>
        <family val="2"/>
      </rPr>
      <t xml:space="preserve">Indicate if the proposed 15mmx12mm to 25mm water meters are of metallic or non-metallic composition.
</t>
    </r>
    <r>
      <rPr>
        <b/>
        <sz val="11"/>
        <color theme="1"/>
        <rFont val="Calibri"/>
        <family val="2"/>
      </rPr>
      <t xml:space="preserve"> </t>
    </r>
  </si>
  <si>
    <t>Metallic</t>
  </si>
  <si>
    <t>Non-Metallic</t>
  </si>
  <si>
    <r>
      <t>·</t>
    </r>
    <r>
      <rPr>
        <sz val="7"/>
        <color theme="1"/>
        <rFont val="Calibri"/>
        <family val="2"/>
      </rPr>
      <t>      </t>
    </r>
    <r>
      <rPr>
        <sz val="11"/>
        <color theme="1"/>
        <rFont val="Calibri"/>
        <family val="2"/>
      </rPr>
      <t xml:space="preserve">Proponents shall indicate if the small water meters (15mmx12mm to 25mm only) supplied are metallic or non-metallic.  If non-metallic, the assumption is that 50% of small meter installations will require grounding straps.  This will populate the grounding straps quantities in tab B1A - Mtr Qty by Year. </t>
    </r>
  </si>
  <si>
    <t>497-2025_RFP - Supply of Advanced Meter Infrastructure and Water Meter Solution</t>
  </si>
  <si>
    <r>
      <rPr>
        <sz val="11"/>
        <rFont val="Calibri"/>
        <family val="2"/>
      </rPr>
      <t xml:space="preserve">a) </t>
    </r>
    <r>
      <rPr>
        <b/>
        <sz val="11"/>
        <rFont val="Calibri"/>
        <family val="2"/>
      </rPr>
      <t xml:space="preserve">    </t>
    </r>
    <r>
      <rPr>
        <b/>
        <sz val="11"/>
        <color rgb="FFFF0000"/>
        <rFont val="Calibri"/>
        <family val="2"/>
      </rPr>
      <t xml:space="preserve"> ALL PRICING IS TO BE QUOTED IN Canadian (CDN$)</t>
    </r>
  </si>
  <si>
    <t>Name of Proponent</t>
  </si>
  <si>
    <t xml:space="preserve">c)           Rates quoted by the Proponent must be all-inclusive and must include all labour and material costs, all travel and carriage costs, all insurance costs, all costs of delivery, all costs of installation and set-up, including any pre-delivery inspection charges, operational support costs, and all other overhead, including any fees or other charges required by law. </t>
  </si>
  <si>
    <r>
      <t>·</t>
    </r>
    <r>
      <rPr>
        <sz val="7"/>
        <color theme="1"/>
        <rFont val="Calibri"/>
        <family val="2"/>
      </rPr>
      <t xml:space="preserve">       </t>
    </r>
    <r>
      <rPr>
        <sz val="11"/>
        <color theme="1"/>
        <rFont val="Calibri"/>
        <family val="2"/>
      </rPr>
      <t xml:space="preserve">Quantities and prices in blue shall be filled out by the Proponent unless the Proponent fills in “No” in the “Proponent Proposed?” column which will allow the Proponent to not provide pricing. Where a tab does not have a “Proponent Proposed” column all quantities and prices shall be filled out. </t>
    </r>
  </si>
  <si>
    <r>
      <t>·</t>
    </r>
    <r>
      <rPr>
        <sz val="7"/>
        <color theme="1"/>
        <rFont val="Calibri"/>
        <family val="2"/>
      </rPr>
      <t xml:space="preserve">       </t>
    </r>
    <r>
      <rPr>
        <sz val="11"/>
        <color theme="1"/>
        <rFont val="Calibri"/>
        <family val="2"/>
      </rPr>
      <t xml:space="preserve">Proponents may only provide comments if they feel it provides additional clarity. Comments included with a Proponent’s submission that alter the intended pricing description, may be deemed non-compliant. </t>
    </r>
  </si>
  <si>
    <r>
      <t>·</t>
    </r>
    <r>
      <rPr>
        <sz val="7"/>
        <color theme="1"/>
        <rFont val="Calibri"/>
        <family val="2"/>
      </rPr>
      <t xml:space="preserve">       </t>
    </r>
    <r>
      <rPr>
        <sz val="11"/>
        <color theme="1"/>
        <rFont val="Calibri"/>
        <family val="2"/>
      </rPr>
      <t xml:space="preserve">For proposed integrated meters (with radio transmitter), Proponents shall provide unit prices in tab B1 Water Meter Supply only.  </t>
    </r>
  </si>
  <si>
    <r>
      <t>·</t>
    </r>
    <r>
      <rPr>
        <sz val="7"/>
        <color theme="1"/>
        <rFont val="Calibri"/>
        <family val="2"/>
      </rPr>
      <t xml:space="preserve">       </t>
    </r>
    <r>
      <rPr>
        <sz val="11"/>
        <color theme="1"/>
        <rFont val="Calibri"/>
        <family val="2"/>
      </rPr>
      <t xml:space="preserve">If pressure and temperature devices are separate devices, Proponents shall list the total cost of both.  </t>
    </r>
  </si>
  <si>
    <r>
      <t>·</t>
    </r>
    <r>
      <rPr>
        <sz val="7"/>
        <color theme="1"/>
        <rFont val="Calibri"/>
        <family val="2"/>
      </rPr>
      <t xml:space="preserve">       </t>
    </r>
    <r>
      <rPr>
        <sz val="11"/>
        <color theme="1"/>
        <rFont val="Calibri"/>
        <family val="2"/>
      </rPr>
      <t xml:space="preserve">Where the RF network is deployed in accordance with the Proponent’s propagation study, the Proponent's proposed quantities on Tab B2 AMI Network and Radio (Items B2.1 to B2.2; B2.6 to B2.7) and Tab B5 Year 1 SaaS&amp;AMI Network Srv (Item B5.4) will be considered the upset limit, actual quantities and costs above the proposed will be the Supplier Contractor responsibility.  </t>
    </r>
  </si>
  <si>
    <r>
      <t>·</t>
    </r>
    <r>
      <rPr>
        <sz val="7"/>
        <color theme="1"/>
        <rFont val="Calibri"/>
        <family val="2"/>
      </rPr>
      <t xml:space="preserve">       </t>
    </r>
    <r>
      <rPr>
        <sz val="11"/>
        <color theme="1"/>
        <rFont val="Calibri"/>
        <family val="2"/>
      </rPr>
      <t xml:space="preserve">Item B2.6 to B2.9 and B2.10 to B2.15 – Proponent shall propose the total quantity of the different types of data collector and repeaters that covers the City’s entire service territory. Where the RF network is deployed in accordance with the proponent’s propagation study, the Proponent will be responsible for any actual quantity above the proposed quantity. </t>
    </r>
  </si>
  <si>
    <t xml:space="preserve">·       The Proponent shall propose the Quantity and Prices for all Initial Software License, Implementation labour, Implementation Disbursement and Training Labour. </t>
  </si>
  <si>
    <r>
      <t>·</t>
    </r>
    <r>
      <rPr>
        <sz val="7"/>
        <color theme="1"/>
        <rFont val="Calibri"/>
        <family val="2"/>
      </rPr>
      <t xml:space="preserve">       </t>
    </r>
    <r>
      <rPr>
        <sz val="11"/>
        <color theme="1"/>
        <rFont val="Calibri"/>
        <family val="2"/>
      </rPr>
      <t xml:space="preserve">Proponent shall propose a software as a service solution (if available) for all applications (AMI Data Collection, AMI Software). Where a Proponent does not have a SaaS solution for a particular application, a Hosted solution including software support and maintenance shall be proposed instead.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</si>
</sst>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_(* #,##0.0_);_(* \(#,##0.0\);_(* &quot;-&quot;??_);_(@_)"/>
    <numFmt numFmtId="166" formatCode="[$-409]mmmm\ d\,\ yyyy;@"/>
    <numFmt numFmtId="167" formatCode="0.0000000"/>
    <numFmt numFmtId="168" formatCode="&quot;$&quot;#,##0.00"/>
  </numFmts>
  <fonts count="42" x14ac:knownFonts="1">
    <font>
      <sz val="11"/>
      <color theme="1"/>
      <name val="Calibri"/>
      <family val="2"/>
      <scheme val="minor"/>
    </font>
    <font>
      <sz val="11"/>
      <color theme="1"/>
      <name val="Calibri"/>
      <family val="2"/>
      <scheme val="minor"/>
    </font>
    <font>
      <b/>
      <sz val="11"/>
      <color theme="1"/>
      <name val="Calibri"/>
      <family val="2"/>
    </font>
    <font>
      <b/>
      <sz val="12"/>
      <color theme="1"/>
      <name val="Calibri"/>
      <family val="2"/>
    </font>
    <font>
      <sz val="12"/>
      <color theme="1"/>
      <name val="Calibri"/>
      <family val="2"/>
    </font>
    <font>
      <sz val="11"/>
      <color theme="1"/>
      <name val="Calibri"/>
      <family val="2"/>
    </font>
    <font>
      <b/>
      <sz val="11"/>
      <color theme="1"/>
      <name val="Calibri"/>
      <family val="2"/>
      <scheme val="minor"/>
    </font>
    <font>
      <sz val="11"/>
      <name val="Calibri"/>
      <family val="2"/>
      <scheme val="minor"/>
    </font>
    <font>
      <b/>
      <sz val="11"/>
      <name val="Calibri"/>
      <family val="2"/>
    </font>
    <font>
      <b/>
      <sz val="16"/>
      <color theme="1"/>
      <name val="Calibri"/>
      <family val="2"/>
      <scheme val="minor"/>
    </font>
    <font>
      <b/>
      <sz val="16"/>
      <color theme="1"/>
      <name val="Calibri"/>
      <family val="2"/>
    </font>
    <font>
      <b/>
      <sz val="11"/>
      <color theme="0"/>
      <name val="Calibri"/>
      <family val="2"/>
      <scheme val="minor"/>
    </font>
    <font>
      <b/>
      <sz val="16"/>
      <color theme="0"/>
      <name val="Calibri"/>
      <family val="2"/>
    </font>
    <font>
      <sz val="11"/>
      <name val="Calibri"/>
      <family val="2"/>
    </font>
    <font>
      <b/>
      <sz val="14"/>
      <color theme="1"/>
      <name val="Calibri"/>
      <family val="2"/>
    </font>
    <font>
      <b/>
      <sz val="16"/>
      <name val="Calibri"/>
      <family val="2"/>
    </font>
    <font>
      <b/>
      <sz val="12"/>
      <name val="Calibri"/>
      <family val="2"/>
    </font>
    <font>
      <b/>
      <sz val="18"/>
      <color theme="1"/>
      <name val="Calibri"/>
      <family val="2"/>
      <scheme val="minor"/>
    </font>
    <font>
      <u/>
      <sz val="11"/>
      <color theme="1"/>
      <name val="Calibri"/>
      <family val="2"/>
    </font>
    <font>
      <b/>
      <sz val="14"/>
      <color theme="1"/>
      <name val="Calibri"/>
      <family val="2"/>
      <scheme val="minor"/>
    </font>
    <font>
      <sz val="12"/>
      <color theme="1"/>
      <name val="Calibri"/>
      <family val="2"/>
      <scheme val="minor"/>
    </font>
    <font>
      <sz val="14"/>
      <color theme="1"/>
      <name val="Calibri"/>
      <family val="2"/>
      <scheme val="minor"/>
    </font>
    <font>
      <sz val="8"/>
      <name val="Calibri"/>
      <family val="2"/>
      <scheme val="minor"/>
    </font>
    <font>
      <sz val="18"/>
      <color theme="1"/>
      <name val="Calibri"/>
      <family val="2"/>
      <scheme val="minor"/>
    </font>
    <font>
      <i/>
      <sz val="16"/>
      <color theme="1"/>
      <name val="Calibri"/>
      <family val="2"/>
      <scheme val="minor"/>
    </font>
    <font>
      <b/>
      <sz val="14"/>
      <name val="Calibri"/>
      <family val="2"/>
    </font>
    <font>
      <b/>
      <sz val="16"/>
      <color theme="3" tint="-0.499984740745262"/>
      <name val="Calibri"/>
      <family val="2"/>
    </font>
    <font>
      <u/>
      <sz val="11"/>
      <color theme="10"/>
      <name val="Calibri"/>
      <family val="2"/>
      <scheme val="minor"/>
    </font>
    <font>
      <b/>
      <sz val="11"/>
      <color theme="0" tint="-0.499984740745262"/>
      <name val="Calibri"/>
      <family val="2"/>
      <scheme val="minor"/>
    </font>
    <font>
      <b/>
      <u/>
      <sz val="11"/>
      <color theme="1"/>
      <name val="Calibri"/>
      <family val="2"/>
      <scheme val="minor"/>
    </font>
    <font>
      <b/>
      <sz val="11"/>
      <color rgb="FF3F3F3F"/>
      <name val="Calibri"/>
      <family val="2"/>
      <scheme val="minor"/>
    </font>
    <font>
      <sz val="11"/>
      <color theme="0"/>
      <name val="Calibri"/>
      <family val="2"/>
      <scheme val="minor"/>
    </font>
    <font>
      <b/>
      <u/>
      <sz val="10"/>
      <color theme="1"/>
      <name val="Calibri"/>
      <family val="2"/>
      <scheme val="minor"/>
    </font>
    <font>
      <b/>
      <sz val="11"/>
      <color rgb="FF000000"/>
      <name val="Calibri"/>
      <family val="2"/>
      <scheme val="minor"/>
    </font>
    <font>
      <b/>
      <sz val="10.5"/>
      <color rgb="FFFFFFFF"/>
      <name val="Arial"/>
      <family val="2"/>
    </font>
    <font>
      <sz val="10"/>
      <color rgb="FF000000"/>
      <name val="Arial"/>
      <family val="2"/>
    </font>
    <font>
      <b/>
      <sz val="10.5"/>
      <name val="Arial"/>
      <family val="2"/>
    </font>
    <font>
      <b/>
      <sz val="11"/>
      <color rgb="FF000000"/>
      <name val="Calibri"/>
      <family val="2"/>
    </font>
    <font>
      <b/>
      <sz val="7"/>
      <color theme="1"/>
      <name val="Calibri"/>
      <family val="2"/>
    </font>
    <font>
      <b/>
      <sz val="11"/>
      <color rgb="FFFF0000"/>
      <name val="Calibri"/>
      <family val="2"/>
    </font>
    <font>
      <sz val="7"/>
      <color theme="1"/>
      <name val="Calibri"/>
      <family val="2"/>
    </font>
    <font>
      <b/>
      <i/>
      <sz val="11"/>
      <color rgb="FFFF0000"/>
      <name val="Calibri"/>
      <family val="2"/>
    </font>
  </fonts>
  <fills count="18">
    <fill>
      <patternFill patternType="none"/>
    </fill>
    <fill>
      <patternFill patternType="gray125"/>
    </fill>
    <fill>
      <patternFill patternType="solid">
        <fgColor theme="4" tint="0.79998168889431442"/>
        <bgColor indexed="65"/>
      </patternFill>
    </fill>
    <fill>
      <patternFill patternType="solid">
        <fgColor theme="6" tint="0.79998168889431442"/>
        <bgColor indexed="65"/>
      </patternFill>
    </fill>
    <fill>
      <patternFill patternType="solid">
        <fgColor theme="0"/>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2F2F2"/>
      </patternFill>
    </fill>
    <fill>
      <patternFill patternType="solid">
        <fgColor rgb="FFDDEBF7"/>
        <bgColor rgb="FFDDEBF7"/>
      </patternFill>
    </fill>
    <fill>
      <patternFill patternType="solid">
        <fgColor rgb="FF92D050"/>
        <bgColor indexed="64"/>
      </patternFill>
    </fill>
    <fill>
      <patternFill patternType="solid">
        <fgColor rgb="FFFFFFFF"/>
        <bgColor indexed="64"/>
      </patternFill>
    </fill>
  </fills>
  <borders count="4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right/>
      <top style="medium">
        <color auto="1"/>
      </top>
      <bottom style="thick">
        <color auto="1"/>
      </bottom>
      <diagonal/>
    </border>
    <border>
      <left style="medium">
        <color indexed="64"/>
      </left>
      <right style="thin">
        <color theme="0" tint="-0.24994659260841701"/>
      </right>
      <top style="medium">
        <color indexed="64"/>
      </top>
      <bottom style="medium">
        <color indexed="64"/>
      </bottom>
      <diagonal/>
    </border>
    <border>
      <left style="thin">
        <color theme="0" tint="-0.24994659260841701"/>
      </left>
      <right style="thin">
        <color theme="0" tint="-0.24994659260841701"/>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Dashed">
        <color indexed="64"/>
      </left>
      <right/>
      <top style="mediumDashed">
        <color indexed="64"/>
      </top>
      <bottom style="mediumDashed">
        <color indexed="64"/>
      </bottom>
      <diagonal/>
    </border>
    <border>
      <left/>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indexed="64"/>
      </top>
      <bottom style="double">
        <color indexed="64"/>
      </bottom>
      <diagonal/>
    </border>
    <border>
      <left style="thin">
        <color rgb="FF3F3F3F"/>
      </left>
      <right style="thin">
        <color rgb="FF3F3F3F"/>
      </right>
      <top style="thin">
        <color rgb="FF3F3F3F"/>
      </top>
      <bottom style="thin">
        <color rgb="FF3F3F3F"/>
      </bottom>
      <diagonal/>
    </border>
    <border>
      <left/>
      <right style="medium">
        <color indexed="64"/>
      </right>
      <top style="medium">
        <color indexed="64"/>
      </top>
      <bottom/>
      <diagonal/>
    </border>
    <border>
      <left style="medium">
        <color indexed="64"/>
      </left>
      <right style="thin">
        <color rgb="FF3F3F3F"/>
      </right>
      <top style="thin">
        <color rgb="FF3F3F3F"/>
      </top>
      <bottom style="thin">
        <color rgb="FF3F3F3F"/>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theme="1"/>
      </left>
      <right style="medium">
        <color theme="1"/>
      </right>
      <top style="medium">
        <color theme="1"/>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style="medium">
        <color indexed="64"/>
      </left>
      <right/>
      <top style="medium">
        <color indexed="64"/>
      </top>
      <bottom/>
      <diagonal/>
    </border>
  </borders>
  <cellStyleXfs count="8">
    <xf numFmtId="0" fontId="0" fillId="0" borderId="0"/>
    <xf numFmtId="44" fontId="1"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27" fillId="0" borderId="0" applyNumberFormat="0" applyFill="0" applyBorder="0" applyAlignment="0" applyProtection="0"/>
    <xf numFmtId="0" fontId="30" fillId="14" borderId="39" applyNumberFormat="0" applyAlignment="0" applyProtection="0"/>
  </cellStyleXfs>
  <cellXfs count="421">
    <xf numFmtId="0" fontId="0" fillId="0" borderId="0" xfId="0"/>
    <xf numFmtId="0" fontId="0" fillId="4" borderId="0" xfId="0" applyFill="1"/>
    <xf numFmtId="0" fontId="3" fillId="5" borderId="4" xfId="0" applyFont="1" applyFill="1" applyBorder="1" applyAlignment="1">
      <alignment vertical="center" wrapText="1"/>
    </xf>
    <xf numFmtId="0" fontId="4" fillId="4" borderId="0" xfId="0" applyFont="1" applyFill="1" applyAlignment="1">
      <alignment vertical="center" wrapText="1"/>
    </xf>
    <xf numFmtId="0" fontId="5" fillId="4" borderId="10" xfId="0" applyFont="1" applyFill="1" applyBorder="1" applyAlignment="1">
      <alignment horizontal="right" vertical="center" wrapText="1"/>
    </xf>
    <xf numFmtId="44" fontId="9" fillId="4" borderId="10" xfId="0" applyNumberFormat="1" applyFont="1" applyFill="1" applyBorder="1"/>
    <xf numFmtId="0" fontId="3" fillId="5" borderId="10" xfId="0" applyFont="1" applyFill="1" applyBorder="1" applyAlignment="1">
      <alignment vertical="center" wrapText="1"/>
    </xf>
    <xf numFmtId="0" fontId="2" fillId="5" borderId="10" xfId="0" applyFont="1" applyFill="1" applyBorder="1" applyAlignment="1">
      <alignment vertical="center" wrapText="1"/>
    </xf>
    <xf numFmtId="0" fontId="2" fillId="5" borderId="10" xfId="0" applyFont="1" applyFill="1" applyBorder="1" applyAlignment="1">
      <alignment horizontal="right" vertical="center" wrapText="1"/>
    </xf>
    <xf numFmtId="0" fontId="5" fillId="4" borderId="10" xfId="0" applyFont="1" applyFill="1" applyBorder="1" applyAlignment="1">
      <alignment vertical="center" wrapText="1"/>
    </xf>
    <xf numFmtId="9" fontId="5" fillId="4" borderId="10" xfId="0" applyNumberFormat="1" applyFont="1" applyFill="1" applyBorder="1" applyAlignment="1">
      <alignment vertical="center" wrapText="1"/>
    </xf>
    <xf numFmtId="0" fontId="1" fillId="4" borderId="10" xfId="2" applyFill="1" applyBorder="1" applyAlignment="1">
      <alignment horizontal="right" vertical="center" wrapText="1"/>
    </xf>
    <xf numFmtId="44" fontId="1" fillId="6" borderId="10" xfId="3" applyNumberFormat="1" applyFill="1" applyBorder="1" applyAlignment="1" applyProtection="1">
      <alignment vertical="center" wrapText="1"/>
      <protection locked="0"/>
    </xf>
    <xf numFmtId="44" fontId="5" fillId="4" borderId="10" xfId="1" applyFont="1" applyFill="1" applyBorder="1" applyAlignment="1">
      <alignment horizontal="left" vertical="center" wrapText="1"/>
    </xf>
    <xf numFmtId="43" fontId="1" fillId="6" borderId="10" xfId="4" applyFill="1" applyBorder="1" applyAlignment="1" applyProtection="1">
      <alignment vertical="center" wrapText="1"/>
      <protection locked="0"/>
    </xf>
    <xf numFmtId="164" fontId="1" fillId="4" borderId="10" xfId="4" applyNumberFormat="1" applyFill="1" applyBorder="1" applyAlignment="1">
      <alignment vertical="center" wrapText="1"/>
    </xf>
    <xf numFmtId="0" fontId="2" fillId="4" borderId="0" xfId="0" applyFont="1" applyFill="1" applyAlignment="1">
      <alignment vertical="top" wrapText="1"/>
    </xf>
    <xf numFmtId="0" fontId="2" fillId="4" borderId="0" xfId="0" applyFont="1" applyFill="1" applyAlignment="1">
      <alignment vertical="center" wrapText="1"/>
    </xf>
    <xf numFmtId="0" fontId="0" fillId="4" borderId="0" xfId="0" applyFill="1" applyAlignment="1">
      <alignment vertical="top" wrapText="1"/>
    </xf>
    <xf numFmtId="0" fontId="5" fillId="4" borderId="0" xfId="0" applyFont="1" applyFill="1" applyAlignment="1">
      <alignment horizontal="right" vertical="center" wrapText="1"/>
    </xf>
    <xf numFmtId="44" fontId="2" fillId="4" borderId="5" xfId="1" applyFont="1" applyFill="1" applyBorder="1" applyAlignment="1">
      <alignment horizontal="left" vertical="center" wrapText="1"/>
    </xf>
    <xf numFmtId="0" fontId="4" fillId="4" borderId="10" xfId="0" applyFont="1" applyFill="1" applyBorder="1" applyAlignment="1">
      <alignment horizontal="left" vertical="center" wrapText="1"/>
    </xf>
    <xf numFmtId="0" fontId="10" fillId="4" borderId="2" xfId="0" applyFont="1" applyFill="1" applyBorder="1" applyAlignment="1">
      <alignment horizontal="right" vertical="center" wrapText="1"/>
    </xf>
    <xf numFmtId="0" fontId="0" fillId="4" borderId="10" xfId="2" applyFont="1" applyFill="1" applyBorder="1" applyAlignment="1">
      <alignment horizontal="left" vertical="center" wrapText="1"/>
    </xf>
    <xf numFmtId="164" fontId="5" fillId="4" borderId="10" xfId="4" applyNumberFormat="1" applyFont="1" applyFill="1" applyBorder="1" applyAlignment="1">
      <alignment vertical="center" wrapText="1"/>
    </xf>
    <xf numFmtId="44" fontId="11" fillId="4" borderId="0" xfId="3" applyNumberFormat="1" applyFont="1" applyFill="1" applyAlignment="1">
      <alignment horizontal="center" vertical="center" wrapText="1"/>
    </xf>
    <xf numFmtId="44" fontId="2" fillId="4" borderId="9" xfId="1" applyFont="1" applyFill="1" applyBorder="1" applyAlignment="1">
      <alignment horizontal="left" vertical="center" wrapText="1"/>
    </xf>
    <xf numFmtId="0" fontId="5" fillId="4" borderId="10" xfId="0" applyFont="1" applyFill="1" applyBorder="1" applyAlignment="1">
      <alignment horizontal="center" vertical="center" wrapText="1"/>
    </xf>
    <xf numFmtId="0" fontId="0" fillId="4" borderId="10" xfId="2" applyFont="1" applyFill="1" applyBorder="1" applyAlignment="1">
      <alignment horizontal="center" vertical="center" wrapText="1"/>
    </xf>
    <xf numFmtId="44" fontId="1" fillId="6" borderId="10" xfId="3" applyNumberFormat="1" applyFill="1" applyBorder="1" applyAlignment="1" applyProtection="1">
      <alignment horizontal="center" vertical="center" wrapText="1"/>
      <protection locked="0"/>
    </xf>
    <xf numFmtId="0" fontId="5" fillId="4" borderId="4" xfId="0" applyFont="1" applyFill="1" applyBorder="1" applyAlignment="1">
      <alignment vertical="center" wrapText="1"/>
    </xf>
    <xf numFmtId="0" fontId="0" fillId="4" borderId="10" xfId="0" applyFill="1" applyBorder="1" applyAlignment="1">
      <alignment vertical="center"/>
    </xf>
    <xf numFmtId="0" fontId="13" fillId="4" borderId="10" xfId="0" applyFont="1" applyFill="1" applyBorder="1" applyAlignment="1">
      <alignment vertical="center" wrapText="1"/>
    </xf>
    <xf numFmtId="43" fontId="5" fillId="4" borderId="10" xfId="4" applyFont="1" applyFill="1" applyBorder="1" applyAlignment="1">
      <alignment vertical="center" wrapText="1"/>
    </xf>
    <xf numFmtId="44" fontId="1" fillId="6" borderId="10" xfId="1" applyFill="1" applyBorder="1" applyAlignment="1" applyProtection="1">
      <alignment vertical="center" wrapText="1"/>
      <protection locked="0"/>
    </xf>
    <xf numFmtId="164" fontId="7" fillId="4" borderId="0" xfId="4" applyNumberFormat="1" applyFont="1" applyFill="1" applyAlignment="1">
      <alignment horizontal="right"/>
    </xf>
    <xf numFmtId="0" fontId="16" fillId="8" borderId="4" xfId="0" applyFont="1" applyFill="1" applyBorder="1" applyAlignment="1">
      <alignment vertical="center" wrapText="1"/>
    </xf>
    <xf numFmtId="0" fontId="16" fillId="8" borderId="5" xfId="0" applyFont="1" applyFill="1" applyBorder="1" applyAlignment="1">
      <alignment vertical="center" wrapText="1"/>
    </xf>
    <xf numFmtId="0" fontId="5" fillId="4" borderId="1" xfId="0" applyFont="1" applyFill="1" applyBorder="1" applyAlignment="1">
      <alignment horizontal="center" vertical="center" wrapText="1"/>
    </xf>
    <xf numFmtId="0" fontId="6" fillId="4" borderId="0" xfId="0" applyFont="1" applyFill="1"/>
    <xf numFmtId="0" fontId="6" fillId="4" borderId="0" xfId="0" applyFont="1" applyFill="1" applyAlignment="1">
      <alignment horizontal="right"/>
    </xf>
    <xf numFmtId="0" fontId="17" fillId="4" borderId="0" xfId="0" applyFont="1" applyFill="1" applyAlignment="1">
      <alignment horizontal="right"/>
    </xf>
    <xf numFmtId="0" fontId="2" fillId="5" borderId="4" xfId="0" applyFont="1" applyFill="1" applyBorder="1" applyAlignment="1">
      <alignment vertical="center" wrapText="1"/>
    </xf>
    <xf numFmtId="0" fontId="2" fillId="5" borderId="4" xfId="0" applyFont="1" applyFill="1" applyBorder="1" applyAlignment="1">
      <alignment horizontal="right" vertical="center" wrapText="1"/>
    </xf>
    <xf numFmtId="0" fontId="5" fillId="4" borderId="2" xfId="0" applyFont="1" applyFill="1" applyBorder="1" applyAlignment="1">
      <alignment vertical="center" wrapText="1"/>
    </xf>
    <xf numFmtId="44" fontId="0" fillId="4" borderId="0" xfId="1" applyFont="1" applyFill="1"/>
    <xf numFmtId="0" fontId="14" fillId="4" borderId="0" xfId="0" applyFont="1" applyFill="1" applyAlignment="1">
      <alignment horizontal="right" vertical="center" wrapText="1"/>
    </xf>
    <xf numFmtId="44" fontId="2" fillId="4" borderId="0" xfId="1" applyFont="1" applyFill="1" applyAlignment="1">
      <alignment horizontal="left" vertical="center" wrapText="1"/>
    </xf>
    <xf numFmtId="9" fontId="1" fillId="6" borderId="10" xfId="5" applyFill="1" applyBorder="1" applyAlignment="1" applyProtection="1">
      <alignment vertical="center" wrapText="1"/>
      <protection locked="0"/>
    </xf>
    <xf numFmtId="44" fontId="5" fillId="4" borderId="13" xfId="1" applyFont="1" applyFill="1" applyBorder="1" applyAlignment="1">
      <alignment horizontal="left" vertical="center" wrapText="1"/>
    </xf>
    <xf numFmtId="44" fontId="1" fillId="4" borderId="10" xfId="1" applyFill="1" applyBorder="1" applyAlignment="1">
      <alignment horizontal="right" vertical="center" wrapText="1"/>
    </xf>
    <xf numFmtId="10" fontId="1" fillId="4" borderId="10" xfId="2" applyNumberFormat="1" applyFill="1" applyBorder="1" applyAlignment="1">
      <alignment horizontal="right" vertical="center" wrapText="1"/>
    </xf>
    <xf numFmtId="0" fontId="4" fillId="4" borderId="13" xfId="0" applyFont="1" applyFill="1" applyBorder="1" applyAlignment="1">
      <alignment horizontal="right" vertical="center" wrapText="1"/>
    </xf>
    <xf numFmtId="0" fontId="4" fillId="4" borderId="0" xfId="0" applyFont="1" applyFill="1" applyAlignment="1">
      <alignment horizontal="right" vertical="center" wrapText="1"/>
    </xf>
    <xf numFmtId="0" fontId="2" fillId="5" borderId="10" xfId="0" applyFont="1" applyFill="1" applyBorder="1" applyAlignment="1">
      <alignment horizontal="center" vertical="center" wrapText="1"/>
    </xf>
    <xf numFmtId="43" fontId="4" fillId="4" borderId="13" xfId="0" applyNumberFormat="1" applyFont="1" applyFill="1" applyBorder="1" applyAlignment="1">
      <alignment horizontal="right" vertical="center" wrapText="1"/>
    </xf>
    <xf numFmtId="0" fontId="0" fillId="10" borderId="0" xfId="0" applyFill="1"/>
    <xf numFmtId="44" fontId="0" fillId="10" borderId="0" xfId="0" applyNumberFormat="1" applyFill="1"/>
    <xf numFmtId="0" fontId="6" fillId="4" borderId="0" xfId="0" applyFont="1" applyFill="1" applyAlignment="1">
      <alignment horizontal="left"/>
    </xf>
    <xf numFmtId="44" fontId="6" fillId="4" borderId="15" xfId="1" applyFont="1" applyFill="1" applyBorder="1"/>
    <xf numFmtId="0" fontId="6" fillId="5" borderId="16" xfId="0" applyFont="1" applyFill="1" applyBorder="1" applyAlignment="1">
      <alignment horizontal="center"/>
    </xf>
    <xf numFmtId="0" fontId="6" fillId="5" borderId="17" xfId="0" applyFont="1" applyFill="1" applyBorder="1" applyAlignment="1">
      <alignment horizontal="center"/>
    </xf>
    <xf numFmtId="0" fontId="19" fillId="4" borderId="0" xfId="0" applyFont="1" applyFill="1" applyAlignment="1">
      <alignment horizontal="right"/>
    </xf>
    <xf numFmtId="0" fontId="20" fillId="4" borderId="0" xfId="0" applyFont="1" applyFill="1"/>
    <xf numFmtId="0" fontId="10" fillId="4" borderId="0" xfId="0" applyFont="1" applyFill="1" applyAlignment="1">
      <alignment vertical="center" wrapText="1"/>
    </xf>
    <xf numFmtId="9" fontId="6" fillId="4" borderId="10" xfId="0" applyNumberFormat="1" applyFont="1" applyFill="1" applyBorder="1" applyAlignment="1">
      <alignment horizontal="left"/>
    </xf>
    <xf numFmtId="0" fontId="5" fillId="4" borderId="10" xfId="0" quotePrefix="1" applyFont="1" applyFill="1" applyBorder="1" applyAlignment="1">
      <alignment vertical="center" wrapText="1"/>
    </xf>
    <xf numFmtId="9" fontId="0" fillId="10" borderId="0" xfId="0" applyNumberFormat="1" applyFill="1"/>
    <xf numFmtId="0" fontId="5" fillId="4" borderId="0" xfId="0" applyFont="1" applyFill="1" applyAlignment="1">
      <alignment vertical="center" wrapText="1"/>
    </xf>
    <xf numFmtId="0" fontId="2" fillId="4" borderId="0" xfId="0" applyFont="1" applyFill="1" applyAlignment="1">
      <alignment horizontal="left" vertical="center" wrapText="1"/>
    </xf>
    <xf numFmtId="0" fontId="5" fillId="4" borderId="0" xfId="0" applyFont="1" applyFill="1" applyAlignment="1">
      <alignment horizontal="center" vertical="center" wrapText="1"/>
    </xf>
    <xf numFmtId="164" fontId="1" fillId="4" borderId="0" xfId="4" applyNumberFormat="1" applyFill="1" applyBorder="1" applyAlignment="1">
      <alignment horizontal="right" vertical="center" wrapText="1"/>
    </xf>
    <xf numFmtId="164" fontId="5" fillId="4" borderId="0" xfId="4" applyNumberFormat="1" applyFont="1" applyFill="1" applyBorder="1" applyAlignment="1">
      <alignment horizontal="left" vertical="center" wrapText="1"/>
    </xf>
    <xf numFmtId="44" fontId="5" fillId="4" borderId="0" xfId="1" applyFont="1" applyFill="1" applyBorder="1" applyAlignment="1">
      <alignment horizontal="left" vertical="center" wrapText="1"/>
    </xf>
    <xf numFmtId="0" fontId="5" fillId="4" borderId="7" xfId="0" applyFont="1" applyFill="1" applyBorder="1" applyAlignment="1">
      <alignment vertical="center" wrapText="1"/>
    </xf>
    <xf numFmtId="0" fontId="2" fillId="4" borderId="10" xfId="0" applyFont="1" applyFill="1" applyBorder="1" applyAlignment="1">
      <alignment horizontal="left" vertical="center" wrapText="1"/>
    </xf>
    <xf numFmtId="44" fontId="1" fillId="4" borderId="0" xfId="3" applyNumberFormat="1" applyFill="1" applyBorder="1" applyAlignment="1" applyProtection="1">
      <alignment vertical="center" wrapText="1"/>
      <protection locked="0"/>
    </xf>
    <xf numFmtId="44" fontId="9" fillId="4" borderId="11" xfId="0" applyNumberFormat="1" applyFont="1" applyFill="1" applyBorder="1"/>
    <xf numFmtId="0" fontId="0" fillId="4" borderId="0" xfId="2" applyFont="1" applyFill="1" applyBorder="1" applyAlignment="1">
      <alignment horizontal="left" vertical="center" wrapText="1"/>
    </xf>
    <xf numFmtId="10" fontId="1" fillId="4" borderId="0" xfId="2" applyNumberFormat="1" applyFill="1" applyBorder="1" applyAlignment="1">
      <alignment horizontal="right" vertical="center" wrapText="1"/>
    </xf>
    <xf numFmtId="0" fontId="1" fillId="4" borderId="0" xfId="2" applyFill="1" applyBorder="1" applyAlignment="1">
      <alignment horizontal="right" vertical="center" wrapText="1"/>
    </xf>
    <xf numFmtId="44" fontId="1" fillId="4" borderId="0" xfId="1" applyFill="1" applyBorder="1" applyAlignment="1">
      <alignment horizontal="right" vertical="center" wrapText="1"/>
    </xf>
    <xf numFmtId="0" fontId="1" fillId="6" borderId="10" xfId="4" applyNumberFormat="1" applyFill="1" applyBorder="1" applyAlignment="1" applyProtection="1">
      <alignment vertical="center" wrapText="1"/>
      <protection locked="0"/>
    </xf>
    <xf numFmtId="0" fontId="0" fillId="6" borderId="10" xfId="4" applyNumberFormat="1" applyFont="1" applyFill="1" applyBorder="1" applyAlignment="1" applyProtection="1">
      <alignment vertical="center" wrapText="1"/>
      <protection locked="0"/>
    </xf>
    <xf numFmtId="0" fontId="5" fillId="4" borderId="10" xfId="0" applyFont="1" applyFill="1" applyBorder="1" applyAlignment="1">
      <alignment horizontal="left" vertical="center" wrapText="1"/>
    </xf>
    <xf numFmtId="0" fontId="10" fillId="5" borderId="2" xfId="0" applyFont="1" applyFill="1" applyBorder="1" applyAlignment="1">
      <alignment vertical="center" wrapText="1"/>
    </xf>
    <xf numFmtId="0" fontId="5" fillId="4" borderId="6" xfId="0" applyFont="1" applyFill="1" applyBorder="1" applyAlignment="1">
      <alignment horizontal="center" vertical="center" wrapText="1"/>
    </xf>
    <xf numFmtId="44" fontId="2" fillId="4" borderId="4" xfId="1" applyFont="1" applyFill="1" applyBorder="1" applyAlignment="1">
      <alignment horizontal="left" vertical="center" wrapText="1"/>
    </xf>
    <xf numFmtId="44" fontId="0" fillId="6" borderId="10" xfId="3" applyNumberFormat="1" applyFont="1" applyFill="1" applyBorder="1" applyAlignment="1" applyProtection="1">
      <alignment horizontal="center" vertical="center" wrapText="1"/>
      <protection locked="0"/>
    </xf>
    <xf numFmtId="0" fontId="0" fillId="4" borderId="14" xfId="0" applyFill="1" applyBorder="1" applyAlignment="1">
      <alignment horizontal="left"/>
    </xf>
    <xf numFmtId="0" fontId="2" fillId="5" borderId="4" xfId="0" applyFont="1" applyFill="1" applyBorder="1" applyAlignment="1">
      <alignment horizontal="center" vertical="center" wrapText="1"/>
    </xf>
    <xf numFmtId="3" fontId="1" fillId="4" borderId="10" xfId="2" applyNumberFormat="1" applyFill="1" applyBorder="1" applyAlignment="1">
      <alignment horizontal="right" vertical="center" wrapText="1"/>
    </xf>
    <xf numFmtId="3" fontId="1" fillId="6" borderId="10" xfId="4" applyNumberFormat="1" applyFill="1" applyBorder="1" applyAlignment="1" applyProtection="1">
      <alignment vertical="center" wrapText="1"/>
      <protection locked="0"/>
    </xf>
    <xf numFmtId="0" fontId="5" fillId="6" borderId="10" xfId="0" applyFont="1" applyFill="1" applyBorder="1" applyAlignment="1">
      <alignment horizontal="left" vertical="center" wrapText="1"/>
    </xf>
    <xf numFmtId="0" fontId="16" fillId="8" borderId="10" xfId="0" applyFont="1" applyFill="1" applyBorder="1" applyAlignment="1">
      <alignment vertical="center" wrapText="1"/>
    </xf>
    <xf numFmtId="0" fontId="3" fillId="5" borderId="10" xfId="0" applyFont="1" applyFill="1" applyBorder="1" applyAlignment="1">
      <alignment horizontal="left" vertical="center" wrapText="1"/>
    </xf>
    <xf numFmtId="0" fontId="2" fillId="5" borderId="10" xfId="0" applyFont="1" applyFill="1" applyBorder="1" applyAlignment="1">
      <alignment horizontal="left" vertical="center" wrapText="1"/>
    </xf>
    <xf numFmtId="3" fontId="0" fillId="4" borderId="10" xfId="2" applyNumberFormat="1" applyFont="1" applyFill="1" applyBorder="1" applyAlignment="1">
      <alignment horizontal="right" vertical="center" wrapText="1"/>
    </xf>
    <xf numFmtId="0" fontId="0" fillId="4" borderId="14" xfId="0" applyFill="1" applyBorder="1" applyAlignment="1">
      <alignment horizontal="left" vertical="center"/>
    </xf>
    <xf numFmtId="0" fontId="0" fillId="4" borderId="14" xfId="0" applyFill="1" applyBorder="1" applyAlignment="1">
      <alignment vertical="center"/>
    </xf>
    <xf numFmtId="0" fontId="13" fillId="4" borderId="4" xfId="0" applyFont="1" applyFill="1" applyBorder="1" applyAlignment="1">
      <alignment vertical="center" wrapText="1"/>
    </xf>
    <xf numFmtId="164" fontId="1" fillId="0" borderId="10" xfId="4" applyNumberFormat="1" applyFill="1" applyBorder="1" applyAlignment="1">
      <alignment horizontal="right" vertical="center" wrapText="1"/>
    </xf>
    <xf numFmtId="0" fontId="13" fillId="4" borderId="0" xfId="0" applyFont="1" applyFill="1" applyAlignment="1">
      <alignment vertical="center" wrapText="1"/>
    </xf>
    <xf numFmtId="0" fontId="10" fillId="5" borderId="1" xfId="0" applyFont="1" applyFill="1" applyBorder="1" applyAlignment="1">
      <alignment horizontal="right" vertical="center" wrapText="1"/>
    </xf>
    <xf numFmtId="0" fontId="0" fillId="0" borderId="0" xfId="0" applyAlignment="1">
      <alignment vertical="top" wrapText="1"/>
    </xf>
    <xf numFmtId="0" fontId="0" fillId="4" borderId="36" xfId="0" applyFill="1" applyBorder="1"/>
    <xf numFmtId="0" fontId="0" fillId="4" borderId="11" xfId="0" applyFill="1" applyBorder="1"/>
    <xf numFmtId="0" fontId="10" fillId="4" borderId="11" xfId="0" applyFont="1" applyFill="1" applyBorder="1" applyAlignment="1">
      <alignment vertical="center" wrapText="1"/>
    </xf>
    <xf numFmtId="0" fontId="10" fillId="0" borderId="11" xfId="0" applyFont="1" applyBorder="1" applyAlignment="1">
      <alignment vertical="center" wrapText="1"/>
    </xf>
    <xf numFmtId="0" fontId="5" fillId="4" borderId="6" xfId="0" applyFont="1" applyFill="1" applyBorder="1" applyAlignment="1">
      <alignment horizontal="left" vertical="center" wrapText="1"/>
    </xf>
    <xf numFmtId="9" fontId="5" fillId="4" borderId="6" xfId="0" applyNumberFormat="1" applyFont="1" applyFill="1" applyBorder="1" applyAlignment="1">
      <alignment horizontal="center" vertical="center" wrapText="1"/>
    </xf>
    <xf numFmtId="9" fontId="5" fillId="4" borderId="6" xfId="4" applyNumberFormat="1" applyFont="1" applyFill="1" applyBorder="1" applyAlignment="1">
      <alignment horizontal="center" vertical="center" wrapText="1"/>
    </xf>
    <xf numFmtId="0" fontId="0" fillId="0" borderId="0" xfId="0" applyAlignment="1">
      <alignment wrapText="1"/>
    </xf>
    <xf numFmtId="0" fontId="13" fillId="11" borderId="4" xfId="0" applyFont="1" applyFill="1" applyBorder="1" applyAlignment="1">
      <alignment vertical="center" wrapText="1"/>
    </xf>
    <xf numFmtId="44" fontId="8" fillId="11" borderId="10" xfId="1" applyFont="1" applyFill="1" applyBorder="1" applyAlignment="1">
      <alignment horizontal="left" vertical="center" wrapText="1"/>
    </xf>
    <xf numFmtId="44" fontId="2" fillId="11" borderId="4" xfId="1" applyFont="1" applyFill="1" applyBorder="1" applyAlignment="1">
      <alignment horizontal="left" vertical="center" wrapText="1"/>
    </xf>
    <xf numFmtId="44" fontId="2" fillId="11" borderId="10" xfId="1" applyFont="1" applyFill="1" applyBorder="1" applyAlignment="1">
      <alignment horizontal="left" vertical="center" wrapText="1"/>
    </xf>
    <xf numFmtId="0" fontId="5" fillId="12" borderId="4" xfId="0" applyFont="1" applyFill="1" applyBorder="1" applyAlignment="1">
      <alignment vertical="center" wrapText="1"/>
    </xf>
    <xf numFmtId="44" fontId="2" fillId="12" borderId="5" xfId="1" applyFont="1" applyFill="1" applyBorder="1" applyAlignment="1">
      <alignment horizontal="left" vertical="center" wrapText="1"/>
    </xf>
    <xf numFmtId="0" fontId="5" fillId="13" borderId="10" xfId="0" applyFont="1" applyFill="1" applyBorder="1" applyAlignment="1">
      <alignment vertical="center" wrapText="1"/>
    </xf>
    <xf numFmtId="44" fontId="2" fillId="13" borderId="10" xfId="1" applyFont="1" applyFill="1" applyBorder="1" applyAlignment="1">
      <alignment horizontal="left" vertical="center" wrapText="1"/>
    </xf>
    <xf numFmtId="44" fontId="2" fillId="13" borderId="4" xfId="1" applyFont="1" applyFill="1" applyBorder="1" applyAlignment="1">
      <alignment horizontal="left" vertical="center" wrapText="1"/>
    </xf>
    <xf numFmtId="0" fontId="0" fillId="4" borderId="0" xfId="0" applyFill="1" applyAlignment="1">
      <alignment vertical="center"/>
    </xf>
    <xf numFmtId="0" fontId="0" fillId="4" borderId="0" xfId="0" applyFill="1" applyAlignment="1">
      <alignment vertical="center" wrapText="1"/>
    </xf>
    <xf numFmtId="43" fontId="13" fillId="4" borderId="1" xfId="4" applyFont="1" applyFill="1" applyBorder="1" applyAlignment="1">
      <alignment vertical="center" wrapText="1"/>
    </xf>
    <xf numFmtId="44" fontId="8" fillId="4" borderId="5" xfId="1" applyFont="1" applyFill="1" applyBorder="1" applyAlignment="1">
      <alignment horizontal="left" vertical="center" wrapText="1"/>
    </xf>
    <xf numFmtId="0" fontId="25" fillId="4" borderId="2" xfId="0" applyFont="1" applyFill="1" applyBorder="1" applyAlignment="1">
      <alignment horizontal="right" vertical="center" wrapText="1"/>
    </xf>
    <xf numFmtId="44" fontId="8" fillId="4" borderId="4" xfId="1" applyFont="1" applyFill="1" applyBorder="1" applyAlignment="1">
      <alignment horizontal="left" vertical="center" wrapText="1"/>
    </xf>
    <xf numFmtId="0" fontId="13" fillId="4" borderId="2" xfId="0" applyFont="1" applyFill="1" applyBorder="1" applyAlignment="1">
      <alignment vertical="center" wrapText="1"/>
    </xf>
    <xf numFmtId="43" fontId="13" fillId="4" borderId="2" xfId="4" applyFont="1" applyFill="1" applyBorder="1" applyAlignment="1">
      <alignment vertical="center" wrapText="1"/>
    </xf>
    <xf numFmtId="9" fontId="13" fillId="4" borderId="2" xfId="0" applyNumberFormat="1" applyFont="1" applyFill="1" applyBorder="1" applyAlignment="1">
      <alignment horizontal="left" vertical="center" wrapText="1"/>
    </xf>
    <xf numFmtId="44" fontId="8" fillId="4" borderId="2" xfId="1" applyFont="1" applyFill="1" applyBorder="1" applyAlignment="1">
      <alignment horizontal="left" vertical="center" wrapText="1"/>
    </xf>
    <xf numFmtId="44" fontId="8" fillId="4" borderId="10" xfId="1" applyFont="1" applyFill="1" applyBorder="1" applyAlignment="1">
      <alignment horizontal="left" vertical="center" wrapText="1"/>
    </xf>
    <xf numFmtId="43" fontId="13" fillId="4" borderId="10" xfId="4" applyFont="1" applyFill="1" applyBorder="1" applyAlignment="1">
      <alignment vertical="center" wrapText="1"/>
    </xf>
    <xf numFmtId="0" fontId="7" fillId="4" borderId="0" xfId="0" applyFont="1" applyFill="1" applyAlignment="1">
      <alignment vertical="center"/>
    </xf>
    <xf numFmtId="0" fontId="16" fillId="5" borderId="4" xfId="0" applyFont="1" applyFill="1" applyBorder="1" applyAlignment="1">
      <alignment vertical="center" wrapText="1"/>
    </xf>
    <xf numFmtId="0" fontId="16" fillId="5" borderId="10" xfId="0" applyFont="1" applyFill="1" applyBorder="1" applyAlignment="1">
      <alignment vertical="center" wrapText="1"/>
    </xf>
    <xf numFmtId="0" fontId="1" fillId="6" borderId="10" xfId="3" applyNumberFormat="1" applyFill="1" applyBorder="1" applyAlignment="1" applyProtection="1">
      <alignment horizontal="center" vertical="center" wrapText="1"/>
      <protection locked="0"/>
    </xf>
    <xf numFmtId="44" fontId="6" fillId="6" borderId="9" xfId="3" applyNumberFormat="1" applyFont="1" applyFill="1" applyBorder="1" applyAlignment="1" applyProtection="1">
      <alignment vertical="center" wrapText="1"/>
      <protection locked="0"/>
    </xf>
    <xf numFmtId="166" fontId="6" fillId="6" borderId="9" xfId="3" applyNumberFormat="1" applyFont="1" applyFill="1" applyBorder="1" applyAlignment="1" applyProtection="1">
      <alignment vertical="center" wrapText="1"/>
      <protection locked="0"/>
    </xf>
    <xf numFmtId="0" fontId="4" fillId="4" borderId="10" xfId="0" applyFont="1" applyFill="1" applyBorder="1" applyAlignment="1">
      <alignment vertical="center" wrapText="1"/>
    </xf>
    <xf numFmtId="0" fontId="0" fillId="4" borderId="0" xfId="0" applyFill="1" applyAlignment="1">
      <alignment horizontal="center"/>
    </xf>
    <xf numFmtId="0" fontId="5" fillId="4" borderId="0" xfId="0" applyFont="1" applyFill="1" applyAlignment="1">
      <alignment horizontal="left" vertical="center" wrapText="1"/>
    </xf>
    <xf numFmtId="0" fontId="6" fillId="4" borderId="0" xfId="2" applyFont="1" applyFill="1" applyBorder="1" applyAlignment="1">
      <alignment horizontal="left" vertical="center" wrapText="1"/>
    </xf>
    <xf numFmtId="10" fontId="1" fillId="0" borderId="0" xfId="2" applyNumberFormat="1" applyFill="1" applyBorder="1" applyAlignment="1">
      <alignment horizontal="right" vertical="center" wrapText="1"/>
    </xf>
    <xf numFmtId="3" fontId="0" fillId="4" borderId="0" xfId="2" applyNumberFormat="1" applyFont="1" applyFill="1" applyBorder="1" applyAlignment="1">
      <alignment horizontal="right" vertical="center" wrapText="1"/>
    </xf>
    <xf numFmtId="164" fontId="0" fillId="0" borderId="10" xfId="4" applyNumberFormat="1" applyFont="1" applyBorder="1" applyAlignment="1">
      <alignment horizontal="right" vertical="center" wrapText="1"/>
    </xf>
    <xf numFmtId="44" fontId="0" fillId="6" borderId="10" xfId="1" applyFont="1" applyFill="1" applyBorder="1" applyAlignment="1" applyProtection="1">
      <alignment vertical="center" wrapText="1"/>
      <protection locked="0"/>
    </xf>
    <xf numFmtId="10" fontId="0" fillId="4" borderId="10" xfId="2" applyNumberFormat="1" applyFont="1" applyFill="1" applyBorder="1" applyAlignment="1">
      <alignment horizontal="right" vertical="center" wrapText="1"/>
    </xf>
    <xf numFmtId="0" fontId="0" fillId="4" borderId="10" xfId="2" applyFont="1" applyFill="1" applyBorder="1" applyAlignment="1">
      <alignment horizontal="right" vertical="center" wrapText="1"/>
    </xf>
    <xf numFmtId="44" fontId="0" fillId="4" borderId="10" xfId="1" applyFont="1" applyFill="1" applyBorder="1" applyAlignment="1">
      <alignment horizontal="right" vertical="center" wrapText="1"/>
    </xf>
    <xf numFmtId="0" fontId="19" fillId="5" borderId="17" xfId="0" applyFont="1" applyFill="1" applyBorder="1"/>
    <xf numFmtId="44" fontId="20" fillId="4" borderId="37" xfId="1" applyFont="1" applyFill="1" applyBorder="1"/>
    <xf numFmtId="44" fontId="0" fillId="4" borderId="37" xfId="1" applyFont="1" applyFill="1" applyBorder="1"/>
    <xf numFmtId="44" fontId="6" fillId="4" borderId="0" xfId="1" applyFont="1" applyFill="1"/>
    <xf numFmtId="0" fontId="0" fillId="4" borderId="10" xfId="0" applyFill="1" applyBorder="1"/>
    <xf numFmtId="9" fontId="1" fillId="0" borderId="0" xfId="5" applyFill="1" applyBorder="1" applyAlignment="1" applyProtection="1">
      <alignment vertical="center" wrapText="1"/>
      <protection locked="0"/>
    </xf>
    <xf numFmtId="0" fontId="30" fillId="4" borderId="10" xfId="7" applyFill="1" applyBorder="1" applyAlignment="1">
      <alignment horizontal="left"/>
    </xf>
    <xf numFmtId="164" fontId="1" fillId="4" borderId="10" xfId="4" applyNumberFormat="1" applyFont="1" applyFill="1" applyBorder="1" applyAlignment="1">
      <alignment horizontal="center"/>
    </xf>
    <xf numFmtId="164" fontId="30" fillId="4" borderId="10" xfId="4" applyNumberFormat="1" applyFont="1" applyFill="1" applyBorder="1" applyAlignment="1">
      <alignment horizontal="center"/>
    </xf>
    <xf numFmtId="0" fontId="30" fillId="4" borderId="10" xfId="7" quotePrefix="1" applyFill="1" applyBorder="1" applyAlignment="1">
      <alignment horizontal="left"/>
    </xf>
    <xf numFmtId="164" fontId="0" fillId="4" borderId="0" xfId="0" applyNumberFormat="1" applyFill="1"/>
    <xf numFmtId="164" fontId="6" fillId="4" borderId="10" xfId="4" applyNumberFormat="1" applyFont="1" applyFill="1" applyBorder="1" applyAlignment="1">
      <alignment horizontal="center"/>
    </xf>
    <xf numFmtId="43" fontId="0" fillId="4" borderId="0" xfId="0" applyNumberFormat="1" applyFill="1"/>
    <xf numFmtId="0" fontId="30" fillId="4" borderId="41" xfId="7" applyFill="1" applyBorder="1" applyAlignment="1">
      <alignment horizontal="left"/>
    </xf>
    <xf numFmtId="0" fontId="33" fillId="0" borderId="43" xfId="0" applyFont="1" applyBorder="1" applyAlignment="1">
      <alignment horizontal="left"/>
    </xf>
    <xf numFmtId="1" fontId="33" fillId="0" borderId="43" xfId="0" applyNumberFormat="1" applyFont="1" applyBorder="1"/>
    <xf numFmtId="0" fontId="33" fillId="15" borderId="43" xfId="0" applyFont="1" applyFill="1" applyBorder="1" applyAlignment="1">
      <alignment horizontal="left"/>
    </xf>
    <xf numFmtId="1" fontId="33" fillId="15" borderId="43" xfId="0" applyNumberFormat="1" applyFont="1" applyFill="1" applyBorder="1"/>
    <xf numFmtId="0" fontId="31" fillId="4" borderId="44" xfId="0" applyFont="1" applyFill="1" applyBorder="1"/>
    <xf numFmtId="0" fontId="34" fillId="16" borderId="46" xfId="0" applyFont="1" applyFill="1" applyBorder="1" applyAlignment="1">
      <alignment horizontal="center" vertical="center" wrapText="1"/>
    </xf>
    <xf numFmtId="0" fontId="11" fillId="4" borderId="44" xfId="0" applyFont="1" applyFill="1" applyBorder="1" applyAlignment="1">
      <alignment horizontal="center" wrapText="1"/>
    </xf>
    <xf numFmtId="0" fontId="34" fillId="16" borderId="44" xfId="0" applyFont="1" applyFill="1" applyBorder="1" applyAlignment="1">
      <alignment horizontal="center" vertical="center" wrapText="1"/>
    </xf>
    <xf numFmtId="0" fontId="35" fillId="17" borderId="4" xfId="0" applyFont="1" applyFill="1" applyBorder="1" applyAlignment="1">
      <alignment horizontal="center" vertical="center" wrapText="1"/>
    </xf>
    <xf numFmtId="0" fontId="36" fillId="17" borderId="10" xfId="0" applyFont="1" applyFill="1" applyBorder="1" applyAlignment="1">
      <alignment horizontal="center" vertical="center" wrapText="1"/>
    </xf>
    <xf numFmtId="10" fontId="0" fillId="4" borderId="0" xfId="0" applyNumberFormat="1" applyFill="1"/>
    <xf numFmtId="9" fontId="9" fillId="4" borderId="2" xfId="0" applyNumberFormat="1" applyFont="1" applyFill="1" applyBorder="1"/>
    <xf numFmtId="0" fontId="34" fillId="16" borderId="3" xfId="0" applyFont="1" applyFill="1" applyBorder="1" applyAlignment="1">
      <alignment horizontal="center" vertical="center" wrapText="1"/>
    </xf>
    <xf numFmtId="1" fontId="35" fillId="17" borderId="4" xfId="0" applyNumberFormat="1" applyFont="1" applyFill="1" applyBorder="1" applyAlignment="1">
      <alignment horizontal="center" vertical="center" wrapText="1"/>
    </xf>
    <xf numFmtId="1" fontId="36" fillId="17" borderId="10" xfId="0" applyNumberFormat="1" applyFont="1" applyFill="1" applyBorder="1" applyAlignment="1">
      <alignment horizontal="center" vertical="center" wrapText="1"/>
    </xf>
    <xf numFmtId="44" fontId="1" fillId="4" borderId="10" xfId="3" applyNumberFormat="1" applyFill="1" applyBorder="1" applyAlignment="1" applyProtection="1">
      <alignment vertical="center" wrapText="1"/>
    </xf>
    <xf numFmtId="10" fontId="5" fillId="4" borderId="6" xfId="0" applyNumberFormat="1" applyFont="1" applyFill="1" applyBorder="1" applyAlignment="1">
      <alignment vertical="center" wrapText="1"/>
    </xf>
    <xf numFmtId="44" fontId="1" fillId="10" borderId="10" xfId="3" applyNumberFormat="1" applyFill="1" applyBorder="1" applyAlignment="1" applyProtection="1">
      <alignment vertical="center" wrapText="1"/>
    </xf>
    <xf numFmtId="0" fontId="30" fillId="4" borderId="10" xfId="7" applyFill="1" applyBorder="1" applyAlignment="1">
      <alignment horizontal="left" vertical="center"/>
    </xf>
    <xf numFmtId="0" fontId="30" fillId="4" borderId="41" xfId="7" applyFill="1" applyBorder="1" applyAlignment="1">
      <alignment horizontal="left" vertical="center"/>
    </xf>
    <xf numFmtId="0" fontId="30" fillId="4" borderId="10" xfId="7" applyFill="1" applyBorder="1" applyAlignment="1">
      <alignment horizontal="left" vertical="center" wrapText="1"/>
    </xf>
    <xf numFmtId="10" fontId="6" fillId="4" borderId="10" xfId="0" applyNumberFormat="1" applyFont="1" applyFill="1" applyBorder="1"/>
    <xf numFmtId="10" fontId="6" fillId="0" borderId="3" xfId="0" applyNumberFormat="1" applyFont="1" applyBorder="1"/>
    <xf numFmtId="0" fontId="13" fillId="10" borderId="10" xfId="0" applyFont="1" applyFill="1" applyBorder="1" applyAlignment="1">
      <alignment vertical="center" wrapText="1"/>
    </xf>
    <xf numFmtId="3" fontId="1" fillId="6" borderId="10" xfId="3" applyNumberFormat="1" applyFill="1" applyBorder="1" applyAlignment="1" applyProtection="1">
      <alignment vertical="center" wrapText="1"/>
      <protection locked="0"/>
    </xf>
    <xf numFmtId="0" fontId="5" fillId="10" borderId="10" xfId="0" applyFont="1" applyFill="1" applyBorder="1" applyAlignment="1">
      <alignment vertical="center" wrapText="1"/>
    </xf>
    <xf numFmtId="3" fontId="1" fillId="10" borderId="10" xfId="2" applyNumberFormat="1" applyFill="1" applyBorder="1" applyAlignment="1">
      <alignment horizontal="right" vertical="center" wrapText="1"/>
    </xf>
    <xf numFmtId="0" fontId="10" fillId="5" borderId="0" xfId="0" applyFont="1" applyFill="1" applyAlignment="1">
      <alignment horizontal="left" vertical="center" wrapText="1"/>
    </xf>
    <xf numFmtId="0" fontId="10" fillId="5" borderId="0" xfId="0" applyFont="1" applyFill="1" applyAlignment="1">
      <alignment horizontal="left" vertical="center"/>
    </xf>
    <xf numFmtId="1" fontId="0" fillId="4" borderId="0" xfId="0" applyNumberFormat="1" applyFill="1"/>
    <xf numFmtId="1" fontId="0" fillId="4" borderId="43" xfId="0" applyNumberFormat="1" applyFill="1" applyBorder="1"/>
    <xf numFmtId="10" fontId="0" fillId="4" borderId="0" xfId="5" applyNumberFormat="1" applyFont="1" applyFill="1"/>
    <xf numFmtId="0" fontId="30" fillId="4" borderId="11" xfId="7" applyFill="1" applyBorder="1" applyAlignment="1">
      <alignment horizontal="left"/>
    </xf>
    <xf numFmtId="164" fontId="0" fillId="0" borderId="0" xfId="0" applyNumberFormat="1"/>
    <xf numFmtId="0" fontId="2" fillId="5" borderId="6" xfId="0" applyFont="1" applyFill="1" applyBorder="1" applyAlignment="1">
      <alignment vertical="center" wrapText="1"/>
    </xf>
    <xf numFmtId="10" fontId="5" fillId="6" borderId="10" xfId="5" applyNumberFormat="1" applyFont="1" applyFill="1" applyBorder="1" applyAlignment="1" applyProtection="1">
      <alignment vertical="center" wrapText="1"/>
      <protection locked="0"/>
    </xf>
    <xf numFmtId="167" fontId="0" fillId="4" borderId="0" xfId="0" applyNumberFormat="1" applyFill="1"/>
    <xf numFmtId="9" fontId="0" fillId="4" borderId="0" xfId="0" applyNumberFormat="1" applyFill="1"/>
    <xf numFmtId="44" fontId="2" fillId="4" borderId="0" xfId="1" applyFont="1" applyFill="1" applyBorder="1" applyAlignment="1">
      <alignment horizontal="left" vertical="center" wrapText="1"/>
    </xf>
    <xf numFmtId="168" fontId="5" fillId="4" borderId="10" xfId="1" applyNumberFormat="1" applyFont="1" applyFill="1" applyBorder="1" applyAlignment="1">
      <alignment horizontal="center" vertical="center" wrapText="1"/>
    </xf>
    <xf numFmtId="10" fontId="1" fillId="6" borderId="10" xfId="2" applyNumberFormat="1" applyFill="1" applyBorder="1" applyAlignment="1" applyProtection="1">
      <alignment horizontal="right" vertical="center" wrapText="1"/>
      <protection locked="0"/>
    </xf>
    <xf numFmtId="0" fontId="13" fillId="10" borderId="10" xfId="0" applyFont="1" applyFill="1" applyBorder="1" applyAlignment="1">
      <alignment horizontal="left" vertical="center" wrapText="1"/>
    </xf>
    <xf numFmtId="44" fontId="2" fillId="4" borderId="10" xfId="1" applyFont="1" applyFill="1" applyBorder="1" applyAlignment="1">
      <alignment horizontal="left" vertical="center" wrapText="1"/>
    </xf>
    <xf numFmtId="10" fontId="6" fillId="4" borderId="10" xfId="0" applyNumberFormat="1" applyFont="1" applyFill="1" applyBorder="1" applyAlignment="1">
      <alignment horizontal="left"/>
    </xf>
    <xf numFmtId="0" fontId="5" fillId="4" borderId="1" xfId="0" quotePrefix="1" applyFont="1" applyFill="1" applyBorder="1" applyAlignment="1">
      <alignment horizontal="left" vertical="center" wrapText="1"/>
    </xf>
    <xf numFmtId="0" fontId="5" fillId="4" borderId="3" xfId="0" quotePrefix="1" applyFont="1" applyFill="1" applyBorder="1" applyAlignment="1">
      <alignment horizontal="left" vertical="center" wrapText="1"/>
    </xf>
    <xf numFmtId="0" fontId="0" fillId="4" borderId="0" xfId="0" applyFill="1" applyAlignment="1">
      <alignment horizontal="left"/>
    </xf>
    <xf numFmtId="0" fontId="5" fillId="10" borderId="6" xfId="0" applyFont="1" applyFill="1" applyBorder="1" applyAlignment="1">
      <alignment horizontal="left" vertical="center" wrapText="1"/>
    </xf>
    <xf numFmtId="0" fontId="0" fillId="4" borderId="0" xfId="0" applyFill="1" applyAlignment="1">
      <alignment horizontal="right"/>
    </xf>
    <xf numFmtId="0" fontId="9" fillId="10" borderId="1" xfId="0" applyFont="1" applyFill="1" applyBorder="1" applyAlignment="1">
      <alignment horizontal="left"/>
    </xf>
    <xf numFmtId="0" fontId="9" fillId="10" borderId="2" xfId="0" applyFont="1" applyFill="1" applyBorder="1" applyAlignment="1">
      <alignment horizontal="center"/>
    </xf>
    <xf numFmtId="0" fontId="9" fillId="10" borderId="2" xfId="0" applyFont="1" applyFill="1" applyBorder="1"/>
    <xf numFmtId="0" fontId="2" fillId="4" borderId="9" xfId="0" applyFont="1" applyFill="1" applyBorder="1" applyAlignment="1">
      <alignment horizontal="left" vertical="center" wrapText="1"/>
    </xf>
    <xf numFmtId="44" fontId="19" fillId="10" borderId="38" xfId="0" applyNumberFormat="1" applyFont="1" applyFill="1" applyBorder="1"/>
    <xf numFmtId="0" fontId="17" fillId="10" borderId="0" xfId="0" applyFont="1" applyFill="1" applyAlignment="1">
      <alignment horizontal="left"/>
    </xf>
    <xf numFmtId="0" fontId="14" fillId="0" borderId="0" xfId="0" applyFont="1" applyAlignment="1">
      <alignment horizontal="center" vertical="top" wrapText="1"/>
    </xf>
    <xf numFmtId="0" fontId="37" fillId="0" borderId="0" xfId="0" applyFont="1" applyAlignment="1">
      <alignment horizontal="left" vertical="top" wrapText="1"/>
    </xf>
    <xf numFmtId="0" fontId="2" fillId="0" borderId="0" xfId="0" applyFont="1" applyAlignment="1">
      <alignment horizontal="left" vertical="top" wrapText="1"/>
    </xf>
    <xf numFmtId="0" fontId="39" fillId="0" borderId="0" xfId="0" applyFont="1" applyAlignment="1">
      <alignment horizontal="left" vertical="top" wrapText="1"/>
    </xf>
    <xf numFmtId="0" fontId="5" fillId="0" borderId="0" xfId="0" applyFont="1" applyAlignment="1">
      <alignment horizontal="left" vertical="top" wrapText="1"/>
    </xf>
    <xf numFmtId="0" fontId="5" fillId="10" borderId="0" xfId="0" quotePrefix="1" applyFont="1" applyFill="1" applyAlignment="1">
      <alignment horizontal="left" vertical="top" wrapText="1"/>
    </xf>
    <xf numFmtId="0" fontId="41" fillId="0" borderId="0" xfId="0" applyFont="1" applyAlignment="1">
      <alignment horizontal="left" vertical="top" wrapText="1"/>
    </xf>
    <xf numFmtId="0" fontId="5" fillId="10" borderId="0" xfId="0" applyFont="1" applyFill="1" applyAlignment="1">
      <alignment horizontal="left" vertical="top" wrapText="1"/>
    </xf>
    <xf numFmtId="0" fontId="5" fillId="0" borderId="0" xfId="0" applyFont="1" applyAlignment="1">
      <alignment vertical="top" wrapText="1"/>
    </xf>
    <xf numFmtId="0" fontId="5" fillId="0" borderId="0" xfId="0" applyFont="1" applyAlignment="1">
      <alignment horizontal="left" vertical="center" wrapText="1"/>
    </xf>
    <xf numFmtId="0" fontId="5" fillId="0" borderId="0" xfId="0" applyFont="1" applyAlignment="1">
      <alignment horizontal="justify" vertical="center" wrapText="1"/>
    </xf>
    <xf numFmtId="0" fontId="5" fillId="0" borderId="0" xfId="0" applyFont="1" applyAlignment="1">
      <alignment horizontal="justify" vertical="top" wrapText="1"/>
    </xf>
    <xf numFmtId="0" fontId="2" fillId="0" borderId="0" xfId="0" applyFont="1" applyAlignment="1">
      <alignment vertical="top" wrapText="1"/>
    </xf>
    <xf numFmtId="0" fontId="5" fillId="4" borderId="0" xfId="0" applyFont="1" applyFill="1" applyAlignment="1">
      <alignment horizontal="justify" vertical="center" wrapText="1"/>
    </xf>
    <xf numFmtId="0" fontId="2" fillId="10" borderId="0" xfId="0" applyFont="1" applyFill="1" applyAlignment="1">
      <alignment horizontal="left" vertical="top" wrapText="1"/>
    </xf>
    <xf numFmtId="44" fontId="9" fillId="10" borderId="10" xfId="0" applyNumberFormat="1" applyFont="1" applyFill="1" applyBorder="1"/>
    <xf numFmtId="10" fontId="5" fillId="6" borderId="10" xfId="5" applyNumberFormat="1" applyFont="1" applyFill="1" applyBorder="1" applyAlignment="1" applyProtection="1">
      <alignment horizontal="right" vertical="center" wrapText="1"/>
      <protection locked="0"/>
    </xf>
    <xf numFmtId="0" fontId="5" fillId="4" borderId="0" xfId="0" applyFont="1" applyFill="1" applyAlignment="1">
      <alignment horizontal="left" vertical="top" wrapText="1"/>
    </xf>
    <xf numFmtId="0" fontId="23" fillId="5" borderId="31" xfId="0" applyFont="1" applyFill="1" applyBorder="1" applyAlignment="1">
      <alignment horizontal="center" vertical="center"/>
    </xf>
    <xf numFmtId="0" fontId="23" fillId="5" borderId="32" xfId="0" applyFont="1" applyFill="1" applyBorder="1" applyAlignment="1">
      <alignment horizontal="center" vertical="center"/>
    </xf>
    <xf numFmtId="0" fontId="23" fillId="5" borderId="33" xfId="0" applyFont="1" applyFill="1" applyBorder="1" applyAlignment="1">
      <alignment horizontal="center" vertical="center"/>
    </xf>
    <xf numFmtId="0" fontId="15" fillId="8" borderId="1" xfId="0" applyFont="1" applyFill="1" applyBorder="1" applyAlignment="1">
      <alignment horizontal="center" vertical="center" wrapText="1"/>
    </xf>
    <xf numFmtId="0" fontId="15" fillId="8" borderId="2" xfId="0" applyFont="1" applyFill="1" applyBorder="1" applyAlignment="1">
      <alignment horizontal="center" vertical="center" wrapText="1"/>
    </xf>
    <xf numFmtId="0" fontId="15" fillId="8" borderId="3" xfId="0" applyFont="1" applyFill="1" applyBorder="1" applyAlignment="1">
      <alignment horizontal="center" vertical="center" wrapText="1"/>
    </xf>
    <xf numFmtId="9" fontId="13" fillId="4" borderId="1" xfId="0" applyNumberFormat="1" applyFont="1" applyFill="1" applyBorder="1" applyAlignment="1">
      <alignment horizontal="left" vertical="center" wrapText="1"/>
    </xf>
    <xf numFmtId="9" fontId="13" fillId="4" borderId="3" xfId="0" applyNumberFormat="1" applyFont="1" applyFill="1" applyBorder="1" applyAlignment="1">
      <alignment horizontal="left" vertical="center" wrapText="1"/>
    </xf>
    <xf numFmtId="0" fontId="25" fillId="4" borderId="1" xfId="0" applyFont="1" applyFill="1" applyBorder="1" applyAlignment="1">
      <alignment horizontal="right" vertical="center" wrapText="1"/>
    </xf>
    <xf numFmtId="0" fontId="25" fillId="4" borderId="2" xfId="0" applyFont="1" applyFill="1" applyBorder="1" applyAlignment="1">
      <alignment horizontal="right" vertical="center" wrapText="1"/>
    </xf>
    <xf numFmtId="0" fontId="25" fillId="4" borderId="3" xfId="0" applyFont="1" applyFill="1" applyBorder="1" applyAlignment="1">
      <alignment horizontal="right" vertical="center" wrapText="1"/>
    </xf>
    <xf numFmtId="0" fontId="15" fillId="7" borderId="1" xfId="0" applyFont="1" applyFill="1" applyBorder="1" applyAlignment="1">
      <alignment horizontal="center" vertical="center" wrapText="1"/>
    </xf>
    <xf numFmtId="0" fontId="15" fillId="7" borderId="2" xfId="0" applyFont="1" applyFill="1" applyBorder="1" applyAlignment="1">
      <alignment horizontal="center" vertical="center" wrapText="1"/>
    </xf>
    <xf numFmtId="0" fontId="15" fillId="7" borderId="3" xfId="0" applyFont="1" applyFill="1" applyBorder="1" applyAlignment="1">
      <alignment horizontal="center" vertical="center" wrapText="1"/>
    </xf>
    <xf numFmtId="0" fontId="16" fillId="5" borderId="12"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25" fillId="0" borderId="1" xfId="0" applyFont="1" applyBorder="1" applyAlignment="1">
      <alignment horizontal="right" vertical="center" wrapText="1"/>
    </xf>
    <xf numFmtId="0" fontId="25" fillId="0" borderId="2" xfId="0" applyFont="1" applyBorder="1" applyAlignment="1">
      <alignment horizontal="right" vertical="center" wrapText="1"/>
    </xf>
    <xf numFmtId="0" fontId="25" fillId="0" borderId="3" xfId="0" applyFont="1" applyBorder="1" applyAlignment="1">
      <alignment horizontal="right" vertical="center" wrapText="1"/>
    </xf>
    <xf numFmtId="0" fontId="16" fillId="8" borderId="12" xfId="0" applyFont="1" applyFill="1" applyBorder="1" applyAlignment="1">
      <alignment horizontal="center" vertical="center" wrapText="1"/>
    </xf>
    <xf numFmtId="0" fontId="16" fillId="8" borderId="9" xfId="0" applyFont="1" applyFill="1" applyBorder="1" applyAlignment="1">
      <alignment horizontal="center" vertical="center" wrapText="1"/>
    </xf>
    <xf numFmtId="0" fontId="16" fillId="8" borderId="5" xfId="0" applyFont="1" applyFill="1" applyBorder="1" applyAlignment="1">
      <alignment horizontal="center" vertical="center" wrapText="1"/>
    </xf>
    <xf numFmtId="0" fontId="14" fillId="4" borderId="1" xfId="0" applyFont="1" applyFill="1" applyBorder="1" applyAlignment="1">
      <alignment horizontal="right" vertical="center" wrapText="1"/>
    </xf>
    <xf numFmtId="0" fontId="14" fillId="4" borderId="2" xfId="0" applyFont="1" applyFill="1" applyBorder="1" applyAlignment="1">
      <alignment horizontal="right" vertical="center" wrapText="1"/>
    </xf>
    <xf numFmtId="0" fontId="14" fillId="4" borderId="3" xfId="0" applyFont="1" applyFill="1" applyBorder="1" applyAlignment="1">
      <alignment horizontal="right" vertical="center" wrapText="1"/>
    </xf>
    <xf numFmtId="9" fontId="5" fillId="12" borderId="1" xfId="0" applyNumberFormat="1" applyFont="1" applyFill="1" applyBorder="1" applyAlignment="1">
      <alignment horizontal="left" vertical="center" wrapText="1"/>
    </xf>
    <xf numFmtId="9" fontId="5" fillId="12" borderId="2" xfId="0" applyNumberFormat="1" applyFont="1" applyFill="1" applyBorder="1" applyAlignment="1">
      <alignment horizontal="left" vertical="center" wrapText="1"/>
    </xf>
    <xf numFmtId="9" fontId="5" fillId="12" borderId="3" xfId="0" applyNumberFormat="1" applyFont="1" applyFill="1" applyBorder="1" applyAlignment="1">
      <alignment horizontal="left" vertical="center" wrapText="1"/>
    </xf>
    <xf numFmtId="0" fontId="0" fillId="4" borderId="0" xfId="0" applyFill="1" applyAlignment="1">
      <alignment horizontal="left" vertical="center"/>
    </xf>
    <xf numFmtId="0" fontId="13" fillId="4" borderId="1" xfId="0" applyFont="1" applyFill="1" applyBorder="1" applyAlignment="1">
      <alignment horizontal="left" vertical="center" wrapText="1"/>
    </xf>
    <xf numFmtId="0" fontId="13" fillId="4" borderId="2" xfId="0" applyFont="1" applyFill="1" applyBorder="1" applyAlignment="1">
      <alignment horizontal="left" vertical="center" wrapText="1"/>
    </xf>
    <xf numFmtId="0" fontId="10" fillId="5" borderId="1" xfId="0" applyFont="1" applyFill="1" applyBorder="1" applyAlignment="1">
      <alignment horizontal="left" vertical="center" wrapText="1"/>
    </xf>
    <xf numFmtId="0" fontId="10" fillId="5" borderId="2" xfId="0" applyFont="1" applyFill="1" applyBorder="1" applyAlignment="1">
      <alignment horizontal="left" vertical="center" wrapText="1"/>
    </xf>
    <xf numFmtId="0" fontId="10" fillId="5" borderId="3" xfId="0" applyFont="1" applyFill="1" applyBorder="1" applyAlignment="1">
      <alignment horizontal="left" vertical="center" wrapText="1"/>
    </xf>
    <xf numFmtId="165" fontId="24" fillId="6" borderId="1" xfId="4" applyNumberFormat="1" applyFont="1" applyFill="1" applyBorder="1" applyAlignment="1" applyProtection="1">
      <alignment horizontal="left" vertical="center" wrapText="1"/>
      <protection locked="0"/>
    </xf>
    <xf numFmtId="165" fontId="24" fillId="6" borderId="2" xfId="4" applyNumberFormat="1" applyFont="1" applyFill="1" applyBorder="1" applyAlignment="1" applyProtection="1">
      <alignment horizontal="left" vertical="center" wrapText="1"/>
      <protection locked="0"/>
    </xf>
    <xf numFmtId="165" fontId="24" fillId="6" borderId="3" xfId="4" applyNumberFormat="1" applyFont="1" applyFill="1" applyBorder="1" applyAlignment="1" applyProtection="1">
      <alignment horizontal="left" vertical="center" wrapText="1"/>
      <protection locked="0"/>
    </xf>
    <xf numFmtId="0" fontId="26" fillId="5" borderId="1" xfId="0" applyFont="1" applyFill="1" applyBorder="1" applyAlignment="1">
      <alignment horizontal="left" vertical="center" wrapText="1"/>
    </xf>
    <xf numFmtId="0" fontId="26" fillId="5" borderId="2" xfId="0" applyFont="1" applyFill="1" applyBorder="1" applyAlignment="1">
      <alignment horizontal="left" vertical="center" wrapText="1"/>
    </xf>
    <xf numFmtId="0" fontId="26" fillId="5" borderId="3" xfId="0" applyFont="1" applyFill="1" applyBorder="1" applyAlignment="1">
      <alignment horizontal="left" vertical="center" wrapText="1"/>
    </xf>
    <xf numFmtId="0" fontId="10" fillId="5" borderId="1" xfId="0" applyFont="1" applyFill="1" applyBorder="1" applyAlignment="1">
      <alignment horizontal="right" vertical="center" wrapText="1"/>
    </xf>
    <xf numFmtId="0" fontId="10" fillId="5" borderId="2" xfId="0" applyFont="1" applyFill="1" applyBorder="1" applyAlignment="1">
      <alignment horizontal="right" vertical="center" wrapText="1"/>
    </xf>
    <xf numFmtId="0" fontId="10" fillId="5" borderId="3" xfId="0" applyFont="1" applyFill="1" applyBorder="1" applyAlignment="1">
      <alignment horizontal="right" vertical="center" wrapText="1"/>
    </xf>
    <xf numFmtId="44" fontId="19" fillId="6" borderId="1" xfId="3" applyNumberFormat="1" applyFont="1" applyFill="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13" fillId="11" borderId="1" xfId="0" applyFont="1" applyFill="1" applyBorder="1" applyAlignment="1">
      <alignment horizontal="left" vertical="center" wrapText="1"/>
    </xf>
    <xf numFmtId="0" fontId="13" fillId="11" borderId="2" xfId="0" applyFont="1" applyFill="1" applyBorder="1" applyAlignment="1">
      <alignment horizontal="left" vertical="center" wrapText="1"/>
    </xf>
    <xf numFmtId="0" fontId="13" fillId="11" borderId="3" xfId="0" applyFont="1" applyFill="1" applyBorder="1" applyAlignment="1">
      <alignment horizontal="left" vertical="center" wrapText="1"/>
    </xf>
    <xf numFmtId="0" fontId="5" fillId="11" borderId="1" xfId="0" applyFont="1" applyFill="1" applyBorder="1" applyAlignment="1">
      <alignment horizontal="left" vertical="center" wrapText="1"/>
    </xf>
    <xf numFmtId="0" fontId="5" fillId="11" borderId="2" xfId="0" applyFont="1" applyFill="1" applyBorder="1" applyAlignment="1">
      <alignment horizontal="left" vertical="center" wrapText="1"/>
    </xf>
    <xf numFmtId="0" fontId="5" fillId="11" borderId="3" xfId="0" applyFont="1" applyFill="1" applyBorder="1" applyAlignment="1">
      <alignment horizontal="left" vertical="center" wrapText="1"/>
    </xf>
    <xf numFmtId="9" fontId="5" fillId="13" borderId="10" xfId="0" applyNumberFormat="1" applyFont="1" applyFill="1" applyBorder="1" applyAlignment="1">
      <alignment horizontal="left" vertical="center" wrapText="1"/>
    </xf>
    <xf numFmtId="0" fontId="12" fillId="7" borderId="1" xfId="0" applyFont="1" applyFill="1" applyBorder="1" applyAlignment="1">
      <alignment horizontal="center" vertical="center" wrapText="1"/>
    </xf>
    <xf numFmtId="0" fontId="12" fillId="7" borderId="2"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14" fillId="0" borderId="1" xfId="0" applyFont="1" applyBorder="1" applyAlignment="1">
      <alignment horizontal="right" vertical="center" wrapText="1"/>
    </xf>
    <xf numFmtId="0" fontId="14" fillId="0" borderId="2" xfId="0" applyFont="1" applyBorder="1" applyAlignment="1">
      <alignment horizontal="right" vertical="center" wrapText="1"/>
    </xf>
    <xf numFmtId="0" fontId="14" fillId="0" borderId="3" xfId="0" applyFont="1" applyBorder="1" applyAlignment="1">
      <alignment horizontal="right" vertical="center" wrapText="1"/>
    </xf>
    <xf numFmtId="0" fontId="14" fillId="4" borderId="0" xfId="0" applyFont="1" applyFill="1" applyAlignment="1">
      <alignment horizontal="center" vertical="center" wrapText="1"/>
    </xf>
    <xf numFmtId="9" fontId="5" fillId="13" borderId="1" xfId="0" applyNumberFormat="1" applyFont="1" applyFill="1" applyBorder="1" applyAlignment="1">
      <alignment horizontal="left" vertical="center" wrapText="1"/>
    </xf>
    <xf numFmtId="9" fontId="5" fillId="13" borderId="2" xfId="0" applyNumberFormat="1" applyFont="1" applyFill="1" applyBorder="1" applyAlignment="1">
      <alignment horizontal="left" vertical="center" wrapText="1"/>
    </xf>
    <xf numFmtId="9" fontId="5" fillId="13" borderId="3" xfId="0" applyNumberFormat="1" applyFont="1" applyFill="1" applyBorder="1" applyAlignment="1">
      <alignment horizontal="left" vertical="center" wrapText="1"/>
    </xf>
    <xf numFmtId="0" fontId="13" fillId="4" borderId="0" xfId="0" applyFont="1" applyFill="1" applyAlignment="1">
      <alignment horizontal="center" vertical="center" wrapText="1"/>
    </xf>
    <xf numFmtId="0" fontId="5" fillId="4" borderId="0" xfId="0" applyFont="1" applyFill="1" applyAlignment="1">
      <alignment horizontal="center" vertical="center" wrapText="1"/>
    </xf>
    <xf numFmtId="0" fontId="0" fillId="4" borderId="0" xfId="0" applyFill="1" applyAlignment="1">
      <alignment horizontal="left"/>
    </xf>
    <xf numFmtId="44" fontId="6" fillId="6" borderId="9" xfId="3" applyNumberFormat="1" applyFont="1" applyFill="1"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44" fontId="6" fillId="6" borderId="2" xfId="3" applyNumberFormat="1" applyFont="1" applyFill="1" applyBorder="1" applyAlignment="1" applyProtection="1">
      <alignment horizontal="center" vertical="center" wrapText="1"/>
      <protection locked="0"/>
    </xf>
    <xf numFmtId="44" fontId="27" fillId="6" borderId="2" xfId="6" applyNumberFormat="1" applyFill="1" applyBorder="1" applyAlignment="1" applyProtection="1">
      <alignment horizontal="center" vertical="center" wrapText="1"/>
      <protection locked="0"/>
    </xf>
    <xf numFmtId="0" fontId="28" fillId="4" borderId="0" xfId="0" applyFont="1" applyFill="1" applyAlignment="1">
      <alignment horizontal="center"/>
    </xf>
    <xf numFmtId="0" fontId="29" fillId="4" borderId="0" xfId="0" applyFont="1" applyFill="1" applyAlignment="1">
      <alignment horizontal="center"/>
    </xf>
    <xf numFmtId="0" fontId="0" fillId="4" borderId="13" xfId="0" applyFill="1" applyBorder="1" applyAlignment="1">
      <alignment horizontal="center"/>
    </xf>
    <xf numFmtId="0" fontId="6" fillId="4" borderId="0" xfId="0" applyFont="1" applyFill="1" applyAlignment="1">
      <alignment horizontal="center"/>
    </xf>
    <xf numFmtId="0" fontId="10" fillId="5" borderId="1" xfId="0" applyFont="1" applyFill="1" applyBorder="1" applyAlignment="1">
      <alignment horizontal="center" vertical="center" wrapText="1"/>
    </xf>
    <xf numFmtId="0" fontId="10" fillId="5" borderId="2" xfId="0" applyFont="1" applyFill="1" applyBorder="1" applyAlignment="1">
      <alignment horizontal="center" vertical="center" wrapText="1"/>
    </xf>
    <xf numFmtId="44" fontId="0" fillId="6" borderId="21" xfId="3" applyNumberFormat="1" applyFont="1" applyFill="1" applyBorder="1" applyAlignment="1" applyProtection="1">
      <alignment horizontal="left" vertical="top" wrapText="1"/>
      <protection locked="0"/>
    </xf>
    <xf numFmtId="44" fontId="1" fillId="6" borderId="22" xfId="3" applyNumberFormat="1" applyFill="1" applyBorder="1" applyAlignment="1" applyProtection="1">
      <alignment horizontal="left" vertical="top" wrapText="1"/>
      <protection locked="0"/>
    </xf>
    <xf numFmtId="44" fontId="1" fillId="6" borderId="23" xfId="3" applyNumberFormat="1" applyFill="1" applyBorder="1" applyAlignment="1" applyProtection="1">
      <alignment horizontal="left" vertical="top" wrapText="1"/>
      <protection locked="0"/>
    </xf>
    <xf numFmtId="9" fontId="10" fillId="5" borderId="12" xfId="0" applyNumberFormat="1" applyFont="1" applyFill="1" applyBorder="1" applyAlignment="1">
      <alignment horizontal="left" vertical="center"/>
    </xf>
    <xf numFmtId="0" fontId="10" fillId="5" borderId="9" xfId="0" applyFont="1" applyFill="1" applyBorder="1" applyAlignment="1">
      <alignment horizontal="left" vertical="center"/>
    </xf>
    <xf numFmtId="0" fontId="10" fillId="5" borderId="5" xfId="0" applyFont="1" applyFill="1" applyBorder="1" applyAlignment="1">
      <alignment horizontal="left" vertical="center"/>
    </xf>
    <xf numFmtId="44" fontId="6" fillId="6" borderId="1" xfId="3" applyNumberFormat="1" applyFont="1" applyFill="1" applyBorder="1" applyAlignment="1">
      <alignment horizontal="center" vertical="center" wrapText="1"/>
    </xf>
    <xf numFmtId="44" fontId="6" fillId="6" borderId="2" xfId="3" applyNumberFormat="1" applyFont="1" applyFill="1" applyBorder="1" applyAlignment="1">
      <alignment horizontal="center" vertical="center" wrapText="1"/>
    </xf>
    <xf numFmtId="44" fontId="6" fillId="6" borderId="3" xfId="3" applyNumberFormat="1" applyFont="1" applyFill="1" applyBorder="1" applyAlignment="1">
      <alignment horizontal="center" vertical="center" wrapText="1"/>
    </xf>
    <xf numFmtId="0" fontId="10" fillId="5" borderId="3" xfId="0" applyFont="1" applyFill="1" applyBorder="1" applyAlignment="1">
      <alignment horizontal="center" vertical="center" wrapText="1"/>
    </xf>
    <xf numFmtId="0" fontId="8" fillId="4" borderId="6" xfId="0" applyFont="1" applyFill="1" applyBorder="1" applyAlignment="1">
      <alignment horizontal="left" vertical="center" wrapText="1"/>
    </xf>
    <xf numFmtId="0" fontId="8" fillId="4" borderId="7" xfId="0" applyFont="1" applyFill="1" applyBorder="1" applyAlignment="1">
      <alignment horizontal="left" vertical="center" wrapText="1"/>
    </xf>
    <xf numFmtId="0" fontId="8" fillId="4" borderId="4" xfId="0" applyFont="1" applyFill="1" applyBorder="1" applyAlignment="1">
      <alignment horizontal="left" vertical="center" wrapText="1"/>
    </xf>
    <xf numFmtId="9" fontId="9" fillId="4" borderId="1" xfId="0" applyNumberFormat="1" applyFont="1" applyFill="1" applyBorder="1" applyAlignment="1">
      <alignment horizontal="right"/>
    </xf>
    <xf numFmtId="9" fontId="9" fillId="4" borderId="2" xfId="0" applyNumberFormat="1" applyFont="1" applyFill="1" applyBorder="1" applyAlignment="1">
      <alignment horizontal="right"/>
    </xf>
    <xf numFmtId="9" fontId="9" fillId="4" borderId="47" xfId="0" applyNumberFormat="1" applyFont="1" applyFill="1" applyBorder="1" applyAlignment="1">
      <alignment horizontal="right"/>
    </xf>
    <xf numFmtId="9" fontId="9" fillId="4" borderId="13" xfId="0" applyNumberFormat="1" applyFont="1" applyFill="1" applyBorder="1" applyAlignment="1">
      <alignment horizontal="right"/>
    </xf>
    <xf numFmtId="44" fontId="1" fillId="6" borderId="18" xfId="3" applyNumberFormat="1" applyFill="1" applyBorder="1" applyAlignment="1" applyProtection="1">
      <alignment horizontal="left" vertical="top" wrapText="1"/>
      <protection locked="0"/>
    </xf>
    <xf numFmtId="44" fontId="1" fillId="6" borderId="19" xfId="3" applyNumberFormat="1" applyFill="1" applyBorder="1" applyAlignment="1" applyProtection="1">
      <alignment horizontal="left" vertical="top" wrapText="1"/>
      <protection locked="0"/>
    </xf>
    <xf numFmtId="44" fontId="1" fillId="6" borderId="20" xfId="3" applyNumberFormat="1" applyFill="1" applyBorder="1" applyAlignment="1" applyProtection="1">
      <alignment horizontal="left" vertical="top" wrapText="1"/>
      <protection locked="0"/>
    </xf>
    <xf numFmtId="44" fontId="0" fillId="6" borderId="18" xfId="3" applyNumberFormat="1" applyFont="1" applyFill="1" applyBorder="1" applyAlignment="1" applyProtection="1">
      <alignment horizontal="left" vertical="top" wrapText="1"/>
      <protection locked="0"/>
    </xf>
    <xf numFmtId="0" fontId="32" fillId="4" borderId="42" xfId="0" applyFont="1" applyFill="1" applyBorder="1" applyAlignment="1">
      <alignment horizontal="center"/>
    </xf>
    <xf numFmtId="0" fontId="32" fillId="4" borderId="29" xfId="0" applyFont="1" applyFill="1" applyBorder="1" applyAlignment="1">
      <alignment horizontal="center"/>
    </xf>
    <xf numFmtId="0" fontId="34" fillId="16" borderId="45" xfId="0" applyFont="1" applyFill="1" applyBorder="1" applyAlignment="1">
      <alignment horizontal="center" vertical="center" wrapText="1"/>
    </xf>
    <xf numFmtId="0" fontId="34" fillId="16" borderId="46"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40"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8" xfId="0" applyFont="1" applyFill="1" applyBorder="1" applyAlignment="1">
      <alignment horizontal="center" vertical="center" wrapText="1"/>
    </xf>
    <xf numFmtId="0" fontId="10" fillId="5" borderId="12" xfId="0" applyFont="1" applyFill="1" applyBorder="1" applyAlignment="1">
      <alignment horizontal="left" vertical="center" wrapText="1"/>
    </xf>
    <xf numFmtId="0" fontId="10" fillId="5" borderId="9" xfId="0" applyFont="1" applyFill="1" applyBorder="1" applyAlignment="1">
      <alignment horizontal="left" vertical="center" wrapText="1"/>
    </xf>
    <xf numFmtId="0" fontId="10" fillId="5" borderId="5" xfId="0" applyFont="1" applyFill="1" applyBorder="1" applyAlignment="1">
      <alignment horizontal="left" vertical="center" wrapText="1"/>
    </xf>
    <xf numFmtId="0" fontId="5" fillId="4" borderId="6" xfId="0" applyFont="1" applyFill="1" applyBorder="1" applyAlignment="1">
      <alignment vertical="center" wrapText="1"/>
    </xf>
    <xf numFmtId="0" fontId="5" fillId="4" borderId="4" xfId="0" applyFont="1" applyFill="1" applyBorder="1" applyAlignment="1">
      <alignment vertical="center" wrapText="1"/>
    </xf>
    <xf numFmtId="0" fontId="5" fillId="4" borderId="6" xfId="0" applyFont="1" applyFill="1" applyBorder="1" applyAlignment="1">
      <alignment horizontal="left" vertical="center" wrapText="1"/>
    </xf>
    <xf numFmtId="0" fontId="5" fillId="4" borderId="4" xfId="0" applyFont="1" applyFill="1" applyBorder="1" applyAlignment="1">
      <alignment horizontal="left" vertical="center" wrapText="1"/>
    </xf>
    <xf numFmtId="9" fontId="10" fillId="5" borderId="1" xfId="0" applyNumberFormat="1" applyFont="1" applyFill="1" applyBorder="1" applyAlignment="1">
      <alignment horizontal="left" vertical="center"/>
    </xf>
    <xf numFmtId="9" fontId="10" fillId="5" borderId="2" xfId="0" applyNumberFormat="1" applyFont="1" applyFill="1" applyBorder="1" applyAlignment="1">
      <alignment horizontal="left" vertical="center"/>
    </xf>
    <xf numFmtId="9" fontId="10" fillId="5" borderId="3" xfId="0" applyNumberFormat="1" applyFont="1" applyFill="1" applyBorder="1" applyAlignment="1">
      <alignment horizontal="left" vertical="center"/>
    </xf>
    <xf numFmtId="0" fontId="5" fillId="4" borderId="8" xfId="0" applyFont="1" applyFill="1" applyBorder="1" applyAlignment="1">
      <alignment horizontal="left" vertical="center" wrapText="1"/>
    </xf>
    <xf numFmtId="0" fontId="5" fillId="4" borderId="10" xfId="0" applyFont="1" applyFill="1" applyBorder="1" applyAlignment="1">
      <alignment horizontal="left" vertical="center" wrapText="1"/>
    </xf>
    <xf numFmtId="0" fontId="5" fillId="4" borderId="7"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5" fillId="4" borderId="1" xfId="0" quotePrefix="1" applyFont="1" applyFill="1" applyBorder="1" applyAlignment="1">
      <alignment horizontal="left" vertical="center" wrapText="1"/>
    </xf>
    <xf numFmtId="0" fontId="5" fillId="4" borderId="3" xfId="0" quotePrefix="1" applyFont="1" applyFill="1" applyBorder="1" applyAlignment="1">
      <alignment horizontal="left" vertical="center" wrapText="1"/>
    </xf>
    <xf numFmtId="9" fontId="9" fillId="4" borderId="3" xfId="0" applyNumberFormat="1" applyFont="1" applyFill="1" applyBorder="1" applyAlignment="1">
      <alignment horizontal="right"/>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4" xfId="0" applyFont="1" applyBorder="1" applyAlignment="1">
      <alignment horizontal="left" vertical="center" wrapText="1"/>
    </xf>
    <xf numFmtId="0" fontId="5" fillId="10" borderId="10" xfId="0" applyFont="1" applyFill="1" applyBorder="1" applyAlignment="1">
      <alignment horizontal="left" vertical="center" wrapText="1"/>
    </xf>
    <xf numFmtId="44" fontId="0" fillId="6" borderId="22" xfId="3" applyNumberFormat="1" applyFont="1" applyFill="1" applyBorder="1" applyAlignment="1" applyProtection="1">
      <alignment horizontal="left" vertical="top" wrapText="1"/>
      <protection locked="0"/>
    </xf>
    <xf numFmtId="44" fontId="1" fillId="6" borderId="24" xfId="3" applyNumberFormat="1" applyFill="1" applyBorder="1" applyAlignment="1" applyProtection="1">
      <alignment horizontal="left" vertical="top" wrapText="1"/>
      <protection locked="0"/>
    </xf>
    <xf numFmtId="44" fontId="1" fillId="6" borderId="30" xfId="3" applyNumberFormat="1" applyFill="1" applyBorder="1" applyAlignment="1" applyProtection="1">
      <alignment horizontal="left" vertical="top" wrapText="1"/>
      <protection locked="0"/>
    </xf>
    <xf numFmtId="44" fontId="1" fillId="6" borderId="25" xfId="3" applyNumberFormat="1" applyFill="1" applyBorder="1" applyAlignment="1" applyProtection="1">
      <alignment horizontal="left" vertical="top" wrapText="1"/>
      <protection locked="0"/>
    </xf>
    <xf numFmtId="44" fontId="1" fillId="6" borderId="26" xfId="3" applyNumberFormat="1" applyFill="1" applyBorder="1" applyAlignment="1" applyProtection="1">
      <alignment horizontal="left" vertical="top" wrapText="1"/>
      <protection locked="0"/>
    </xf>
    <xf numFmtId="0" fontId="8" fillId="10" borderId="6" xfId="0" applyFont="1" applyFill="1" applyBorder="1" applyAlignment="1">
      <alignment horizontal="left" vertical="center" wrapText="1"/>
    </xf>
    <xf numFmtId="0" fontId="8" fillId="10" borderId="7" xfId="0" applyFont="1" applyFill="1" applyBorder="1" applyAlignment="1">
      <alignment horizontal="left" vertical="center" wrapText="1"/>
    </xf>
    <xf numFmtId="0" fontId="8" fillId="10" borderId="4" xfId="0" applyFont="1" applyFill="1" applyBorder="1" applyAlignment="1">
      <alignment horizontal="left" vertical="center" wrapText="1"/>
    </xf>
    <xf numFmtId="44" fontId="0" fillId="6" borderId="27" xfId="3" applyNumberFormat="1" applyFont="1" applyFill="1" applyBorder="1" applyAlignment="1" applyProtection="1">
      <alignment horizontal="left" vertical="top" wrapText="1"/>
      <protection locked="0"/>
    </xf>
    <xf numFmtId="44" fontId="1" fillId="6" borderId="28" xfId="3" applyNumberFormat="1" applyFill="1" applyBorder="1" applyAlignment="1" applyProtection="1">
      <alignment horizontal="left" vertical="top" wrapText="1"/>
      <protection locked="0"/>
    </xf>
    <xf numFmtId="44" fontId="1" fillId="6" borderId="29" xfId="3" applyNumberFormat="1" applyFill="1" applyBorder="1" applyAlignment="1" applyProtection="1">
      <alignment horizontal="left" vertical="top" wrapText="1"/>
      <protection locked="0"/>
    </xf>
    <xf numFmtId="0" fontId="9" fillId="4" borderId="1" xfId="0" applyFont="1" applyFill="1" applyBorder="1" applyAlignment="1">
      <alignment horizontal="right"/>
    </xf>
    <xf numFmtId="0" fontId="9" fillId="4" borderId="2" xfId="0" applyFont="1" applyFill="1" applyBorder="1" applyAlignment="1">
      <alignment horizontal="right"/>
    </xf>
    <xf numFmtId="0" fontId="9" fillId="4" borderId="3" xfId="0" applyFont="1" applyFill="1" applyBorder="1" applyAlignment="1">
      <alignment horizontal="right"/>
    </xf>
    <xf numFmtId="0" fontId="5" fillId="4" borderId="7" xfId="0" applyFont="1" applyFill="1" applyBorder="1" applyAlignment="1">
      <alignment vertical="center" wrapText="1"/>
    </xf>
    <xf numFmtId="0" fontId="13" fillId="4" borderId="6" xfId="0" applyFont="1" applyFill="1" applyBorder="1" applyAlignment="1">
      <alignment horizontal="left" vertical="center" wrapText="1"/>
    </xf>
    <xf numFmtId="0" fontId="13" fillId="4" borderId="4" xfId="0" applyFont="1" applyFill="1" applyBorder="1" applyAlignment="1">
      <alignment horizontal="left" vertical="center" wrapText="1"/>
    </xf>
    <xf numFmtId="0" fontId="13" fillId="4" borderId="1" xfId="0" quotePrefix="1" applyFont="1" applyFill="1" applyBorder="1" applyAlignment="1">
      <alignment horizontal="left" vertical="center" wrapText="1"/>
    </xf>
    <xf numFmtId="0" fontId="13" fillId="4" borderId="3" xfId="0" quotePrefix="1" applyFont="1" applyFill="1" applyBorder="1" applyAlignment="1">
      <alignment horizontal="left" vertical="center" wrapText="1"/>
    </xf>
    <xf numFmtId="44" fontId="0" fillId="6" borderId="22" xfId="3" applyNumberFormat="1" applyFont="1" applyFill="1" applyBorder="1" applyAlignment="1" applyProtection="1">
      <alignment horizontal="center" vertical="center" wrapText="1"/>
      <protection locked="0"/>
    </xf>
    <xf numFmtId="44" fontId="0" fillId="6" borderId="23" xfId="3" applyNumberFormat="1" applyFont="1" applyFill="1" applyBorder="1" applyAlignment="1" applyProtection="1">
      <alignment horizontal="center" vertical="center" wrapText="1"/>
      <protection locked="0"/>
    </xf>
    <xf numFmtId="44" fontId="0" fillId="6" borderId="19" xfId="3" applyNumberFormat="1" applyFont="1" applyFill="1" applyBorder="1" applyAlignment="1" applyProtection="1">
      <alignment horizontal="center" vertical="center" wrapText="1"/>
      <protection locked="0"/>
    </xf>
    <xf numFmtId="44" fontId="0" fillId="6" borderId="20" xfId="3" applyNumberFormat="1" applyFont="1" applyFill="1" applyBorder="1" applyAlignment="1" applyProtection="1">
      <alignment horizontal="center" vertical="center" wrapText="1"/>
      <protection locked="0"/>
    </xf>
    <xf numFmtId="0" fontId="13" fillId="4" borderId="6" xfId="0" applyFont="1" applyFill="1" applyBorder="1" applyAlignment="1">
      <alignment vertical="center" wrapText="1"/>
    </xf>
    <xf numFmtId="0" fontId="13" fillId="4" borderId="4" xfId="0" applyFont="1" applyFill="1" applyBorder="1" applyAlignment="1">
      <alignment vertical="center" wrapText="1"/>
    </xf>
    <xf numFmtId="0" fontId="3" fillId="9" borderId="1" xfId="0" applyFont="1" applyFill="1" applyBorder="1" applyAlignment="1">
      <alignment horizontal="center" vertical="center" wrapText="1"/>
    </xf>
    <xf numFmtId="0" fontId="3" fillId="9" borderId="2" xfId="0" applyFont="1" applyFill="1" applyBorder="1" applyAlignment="1">
      <alignment horizontal="center" vertical="center" wrapText="1"/>
    </xf>
    <xf numFmtId="0" fontId="3" fillId="9" borderId="3" xfId="0" applyFont="1" applyFill="1" applyBorder="1" applyAlignment="1">
      <alignment horizontal="center" vertical="center" wrapText="1"/>
    </xf>
    <xf numFmtId="0" fontId="4" fillId="4" borderId="10" xfId="0" applyFont="1" applyFill="1" applyBorder="1" applyAlignment="1">
      <alignment horizontal="right" vertical="center" wrapText="1"/>
    </xf>
    <xf numFmtId="0" fontId="6" fillId="4" borderId="6" xfId="2" applyFont="1" applyFill="1" applyBorder="1" applyAlignment="1">
      <alignment horizontal="left" vertical="center" wrapText="1"/>
    </xf>
    <xf numFmtId="0" fontId="6" fillId="4" borderId="7" xfId="2" applyFont="1" applyFill="1" applyBorder="1" applyAlignment="1">
      <alignment horizontal="left" vertical="center" wrapText="1"/>
    </xf>
    <xf numFmtId="0" fontId="6" fillId="4" borderId="4" xfId="2" applyFont="1" applyFill="1" applyBorder="1" applyAlignment="1">
      <alignment horizontal="left" vertical="center" wrapText="1"/>
    </xf>
    <xf numFmtId="0" fontId="5" fillId="4" borderId="47"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9" fillId="5" borderId="1" xfId="0" applyFont="1" applyFill="1" applyBorder="1" applyAlignment="1">
      <alignment horizontal="center"/>
    </xf>
    <xf numFmtId="0" fontId="9" fillId="5" borderId="2" xfId="0" applyFont="1" applyFill="1" applyBorder="1" applyAlignment="1">
      <alignment horizontal="center"/>
    </xf>
    <xf numFmtId="0" fontId="9" fillId="5" borderId="3" xfId="0" applyFont="1" applyFill="1" applyBorder="1" applyAlignment="1">
      <alignment horizontal="center"/>
    </xf>
    <xf numFmtId="0" fontId="17" fillId="10" borderId="0" xfId="0" applyFont="1" applyFill="1"/>
    <xf numFmtId="0" fontId="5" fillId="4" borderId="1" xfId="0" applyFont="1" applyFill="1" applyBorder="1" applyAlignment="1">
      <alignment horizontal="right" vertical="center" wrapText="1"/>
    </xf>
    <xf numFmtId="0" fontId="5" fillId="4" borderId="2" xfId="0" applyFont="1" applyFill="1" applyBorder="1" applyAlignment="1">
      <alignment horizontal="right" vertical="center" wrapText="1"/>
    </xf>
    <xf numFmtId="0" fontId="5" fillId="4" borderId="3" xfId="0" applyFont="1" applyFill="1" applyBorder="1" applyAlignment="1">
      <alignment horizontal="right" vertical="center" wrapText="1"/>
    </xf>
    <xf numFmtId="0" fontId="6" fillId="5" borderId="1" xfId="0" applyFont="1" applyFill="1" applyBorder="1" applyAlignment="1">
      <alignment horizontal="center"/>
    </xf>
    <xf numFmtId="0" fontId="6" fillId="5" borderId="2" xfId="0" applyFont="1" applyFill="1" applyBorder="1" applyAlignment="1">
      <alignment horizontal="center"/>
    </xf>
    <xf numFmtId="0" fontId="6" fillId="5" borderId="3" xfId="0" applyFont="1" applyFill="1" applyBorder="1" applyAlignment="1">
      <alignment horizontal="center"/>
    </xf>
    <xf numFmtId="0" fontId="4" fillId="4" borderId="7" xfId="0" applyFont="1" applyFill="1" applyBorder="1" applyAlignment="1">
      <alignment vertical="center" wrapText="1"/>
    </xf>
    <xf numFmtId="0" fontId="10" fillId="5" borderId="14" xfId="0" applyFont="1" applyFill="1" applyBorder="1" applyAlignment="1">
      <alignment vertical="center" wrapText="1"/>
    </xf>
    <xf numFmtId="0" fontId="10" fillId="5" borderId="34" xfId="0" applyFont="1" applyFill="1" applyBorder="1" applyAlignment="1">
      <alignment vertical="center" wrapText="1"/>
    </xf>
    <xf numFmtId="0" fontId="10" fillId="5" borderId="35" xfId="0" applyFont="1" applyFill="1" applyBorder="1" applyAlignment="1">
      <alignment vertical="center" wrapText="1"/>
    </xf>
    <xf numFmtId="0" fontId="10" fillId="5" borderId="14" xfId="0" applyFont="1" applyFill="1" applyBorder="1" applyAlignment="1">
      <alignment horizontal="left" vertical="center" wrapText="1"/>
    </xf>
    <xf numFmtId="0" fontId="10" fillId="5" borderId="34" xfId="0" applyFont="1" applyFill="1" applyBorder="1" applyAlignment="1">
      <alignment horizontal="left" vertical="center" wrapText="1"/>
    </xf>
    <xf numFmtId="0" fontId="10" fillId="5" borderId="35" xfId="0" applyFont="1" applyFill="1" applyBorder="1" applyAlignment="1">
      <alignment horizontal="left" vertical="center" wrapText="1"/>
    </xf>
  </cellXfs>
  <cellStyles count="8">
    <cellStyle name="20% - Accent1" xfId="2" builtinId="30"/>
    <cellStyle name="20% - Accent3" xfId="3" builtinId="38"/>
    <cellStyle name="Comma" xfId="4" builtinId="3"/>
    <cellStyle name="Currency" xfId="1" builtinId="4"/>
    <cellStyle name="Hyperlink" xfId="6" builtinId="8"/>
    <cellStyle name="Normal" xfId="0" builtinId="0"/>
    <cellStyle name="Output" xfId="7" builtinId="21"/>
    <cellStyle name="Percent" xfId="5" builtinId="5"/>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AD0D0-5562-4C63-B823-CF2214EDCAB4}">
  <sheetPr>
    <tabColor theme="1"/>
    <pageSetUpPr fitToPage="1"/>
  </sheetPr>
  <dimension ref="A1:A97"/>
  <sheetViews>
    <sheetView zoomScale="110" zoomScaleNormal="110" workbookViewId="0">
      <selection activeCell="A53" sqref="A53"/>
    </sheetView>
  </sheetViews>
  <sheetFormatPr defaultColWidth="9" defaultRowHeight="14.4" x14ac:dyDescent="0.3"/>
  <cols>
    <col min="1" max="1" width="155.5546875" style="228" customWidth="1"/>
    <col min="2" max="2" width="25" style="104" customWidth="1"/>
    <col min="3" max="16384" width="9" style="104"/>
  </cols>
  <sheetData>
    <row r="1" spans="1:1" ht="21.75" customHeight="1" x14ac:dyDescent="0.3">
      <c r="A1" s="220" t="s">
        <v>607</v>
      </c>
    </row>
    <row r="2" spans="1:1" x14ac:dyDescent="0.3">
      <c r="A2" s="221"/>
    </row>
    <row r="3" spans="1:1" x14ac:dyDescent="0.3">
      <c r="A3" s="222" t="s">
        <v>532</v>
      </c>
    </row>
    <row r="4" spans="1:1" x14ac:dyDescent="0.3">
      <c r="A4" s="223" t="s">
        <v>613</v>
      </c>
    </row>
    <row r="5" spans="1:1" ht="16.5" customHeight="1" x14ac:dyDescent="0.3">
      <c r="A5" s="237" t="s">
        <v>603</v>
      </c>
    </row>
    <row r="6" spans="1:1" ht="46.05" customHeight="1" x14ac:dyDescent="0.3">
      <c r="A6" s="224" t="s">
        <v>615</v>
      </c>
    </row>
    <row r="7" spans="1:1" ht="28.8" x14ac:dyDescent="0.3">
      <c r="A7" s="225" t="s">
        <v>520</v>
      </c>
    </row>
    <row r="8" spans="1:1" x14ac:dyDescent="0.3">
      <c r="A8" s="225" t="s">
        <v>530</v>
      </c>
    </row>
    <row r="9" spans="1:1" x14ac:dyDescent="0.3">
      <c r="A9" s="224"/>
    </row>
    <row r="10" spans="1:1" ht="19.5" customHeight="1" x14ac:dyDescent="0.3">
      <c r="A10" s="234" t="s">
        <v>604</v>
      </c>
    </row>
    <row r="11" spans="1:1" x14ac:dyDescent="0.3">
      <c r="A11" s="227" t="s">
        <v>605</v>
      </c>
    </row>
    <row r="12" spans="1:1" x14ac:dyDescent="0.3">
      <c r="A12" s="224"/>
    </row>
    <row r="13" spans="1:1" x14ac:dyDescent="0.3">
      <c r="A13" s="226" t="s">
        <v>0</v>
      </c>
    </row>
    <row r="14" spans="1:1" x14ac:dyDescent="0.3">
      <c r="A14" s="224" t="s">
        <v>533</v>
      </c>
    </row>
    <row r="15" spans="1:1" ht="34.5" customHeight="1" x14ac:dyDescent="0.3">
      <c r="A15" s="224" t="s">
        <v>616</v>
      </c>
    </row>
    <row r="16" spans="1:1" x14ac:dyDescent="0.3">
      <c r="A16" s="224" t="s">
        <v>534</v>
      </c>
    </row>
    <row r="17" spans="1:1" x14ac:dyDescent="0.3">
      <c r="A17" s="224" t="s">
        <v>535</v>
      </c>
    </row>
    <row r="18" spans="1:1" ht="33" customHeight="1" x14ac:dyDescent="0.3">
      <c r="A18" s="224" t="s">
        <v>617</v>
      </c>
    </row>
    <row r="19" spans="1:1" x14ac:dyDescent="0.3">
      <c r="A19" s="224" t="s">
        <v>536</v>
      </c>
    </row>
    <row r="20" spans="1:1" ht="48.75" customHeight="1" x14ac:dyDescent="0.3">
      <c r="A20" s="224" t="s">
        <v>537</v>
      </c>
    </row>
    <row r="21" spans="1:1" ht="18.75" customHeight="1" x14ac:dyDescent="0.3">
      <c r="A21" s="224" t="s">
        <v>538</v>
      </c>
    </row>
    <row r="22" spans="1:1" ht="63.75" customHeight="1" x14ac:dyDescent="0.3">
      <c r="A22" s="227" t="s">
        <v>606</v>
      </c>
    </row>
    <row r="23" spans="1:1" ht="20.25" customHeight="1" x14ac:dyDescent="0.3">
      <c r="A23" s="224" t="s">
        <v>539</v>
      </c>
    </row>
    <row r="24" spans="1:1" ht="20.25" customHeight="1" x14ac:dyDescent="0.3">
      <c r="A24" s="224"/>
    </row>
    <row r="25" spans="1:1" x14ac:dyDescent="0.3">
      <c r="A25" s="222" t="s">
        <v>596</v>
      </c>
    </row>
    <row r="26" spans="1:1" ht="28.8" x14ac:dyDescent="0.3">
      <c r="A26" s="224" t="s">
        <v>611</v>
      </c>
    </row>
    <row r="27" spans="1:1" x14ac:dyDescent="0.3">
      <c r="A27" s="224" t="s">
        <v>598</v>
      </c>
    </row>
    <row r="28" spans="1:1" x14ac:dyDescent="0.3">
      <c r="A28" s="224" t="s">
        <v>544</v>
      </c>
    </row>
    <row r="29" spans="1:1" x14ac:dyDescent="0.3">
      <c r="A29" s="224"/>
    </row>
    <row r="30" spans="1:1" x14ac:dyDescent="0.3">
      <c r="A30" s="222" t="s">
        <v>540</v>
      </c>
    </row>
    <row r="31" spans="1:1" x14ac:dyDescent="0.3">
      <c r="A31" s="224" t="s">
        <v>541</v>
      </c>
    </row>
    <row r="32" spans="1:1" x14ac:dyDescent="0.3">
      <c r="A32" s="224" t="s">
        <v>542</v>
      </c>
    </row>
    <row r="33" spans="1:1" x14ac:dyDescent="0.3">
      <c r="A33" s="224" t="s">
        <v>618</v>
      </c>
    </row>
    <row r="34" spans="1:1" x14ac:dyDescent="0.3">
      <c r="A34" s="224" t="s">
        <v>619</v>
      </c>
    </row>
    <row r="35" spans="1:1" x14ac:dyDescent="0.3">
      <c r="A35" s="224" t="s">
        <v>597</v>
      </c>
    </row>
    <row r="36" spans="1:1" x14ac:dyDescent="0.3">
      <c r="A36" s="224"/>
    </row>
    <row r="37" spans="1:1" x14ac:dyDescent="0.3">
      <c r="A37" s="222" t="s">
        <v>543</v>
      </c>
    </row>
    <row r="38" spans="1:1" x14ac:dyDescent="0.3">
      <c r="A38" s="224" t="s">
        <v>600</v>
      </c>
    </row>
    <row r="39" spans="1:1" x14ac:dyDescent="0.3">
      <c r="A39" s="224"/>
    </row>
    <row r="40" spans="1:1" x14ac:dyDescent="0.3">
      <c r="A40" s="222" t="s">
        <v>545</v>
      </c>
    </row>
    <row r="41" spans="1:1" ht="43.2" x14ac:dyDescent="0.3">
      <c r="A41" s="227" t="s">
        <v>620</v>
      </c>
    </row>
    <row r="42" spans="1:1" ht="28.8" x14ac:dyDescent="0.3">
      <c r="A42" s="224" t="s">
        <v>621</v>
      </c>
    </row>
    <row r="43" spans="1:1" x14ac:dyDescent="0.3">
      <c r="A43" s="224" t="s">
        <v>546</v>
      </c>
    </row>
    <row r="44" spans="1:1" x14ac:dyDescent="0.3">
      <c r="A44" s="224" t="s">
        <v>547</v>
      </c>
    </row>
    <row r="45" spans="1:1" x14ac:dyDescent="0.3">
      <c r="A45" s="224"/>
    </row>
    <row r="46" spans="1:1" ht="18" customHeight="1" x14ac:dyDescent="0.3">
      <c r="A46" s="222" t="s">
        <v>548</v>
      </c>
    </row>
    <row r="47" spans="1:1" ht="18" customHeight="1" x14ac:dyDescent="0.3">
      <c r="A47" s="224" t="s">
        <v>549</v>
      </c>
    </row>
    <row r="48" spans="1:1" x14ac:dyDescent="0.3">
      <c r="A48" s="224"/>
    </row>
    <row r="49" spans="1:1" x14ac:dyDescent="0.3">
      <c r="A49" s="222" t="s">
        <v>550</v>
      </c>
    </row>
    <row r="50" spans="1:1" x14ac:dyDescent="0.3">
      <c r="A50" s="224" t="s">
        <v>622</v>
      </c>
    </row>
    <row r="51" spans="1:1" x14ac:dyDescent="0.3">
      <c r="A51" s="224" t="s">
        <v>551</v>
      </c>
    </row>
    <row r="52" spans="1:1" ht="31.5" customHeight="1" x14ac:dyDescent="0.3">
      <c r="A52" s="224" t="s">
        <v>623</v>
      </c>
    </row>
    <row r="53" spans="1:1" x14ac:dyDescent="0.3">
      <c r="A53" s="224" t="s">
        <v>552</v>
      </c>
    </row>
    <row r="54" spans="1:1" x14ac:dyDescent="0.3">
      <c r="A54" s="224"/>
    </row>
    <row r="55" spans="1:1" x14ac:dyDescent="0.3">
      <c r="A55" s="222" t="s">
        <v>553</v>
      </c>
    </row>
    <row r="56" spans="1:1" ht="20.25" customHeight="1" x14ac:dyDescent="0.3">
      <c r="A56" s="224" t="s">
        <v>554</v>
      </c>
    </row>
    <row r="57" spans="1:1" ht="20.25" customHeight="1" x14ac:dyDescent="0.3">
      <c r="A57" s="224" t="s">
        <v>555</v>
      </c>
    </row>
    <row r="58" spans="1:1" ht="20.25" customHeight="1" x14ac:dyDescent="0.3">
      <c r="A58" s="224"/>
    </row>
    <row r="59" spans="1:1" ht="18" customHeight="1" x14ac:dyDescent="0.3">
      <c r="A59" s="222" t="s">
        <v>556</v>
      </c>
    </row>
    <row r="60" spans="1:1" ht="18" customHeight="1" x14ac:dyDescent="0.3">
      <c r="A60" s="224" t="s">
        <v>582</v>
      </c>
    </row>
    <row r="61" spans="1:1" ht="19.5" customHeight="1" x14ac:dyDescent="0.3"/>
    <row r="62" spans="1:1" x14ac:dyDescent="0.3">
      <c r="A62" s="222" t="s">
        <v>557</v>
      </c>
    </row>
    <row r="63" spans="1:1" ht="45.75" customHeight="1" x14ac:dyDescent="0.3">
      <c r="A63" s="229" t="s">
        <v>558</v>
      </c>
    </row>
    <row r="64" spans="1:1" x14ac:dyDescent="0.3">
      <c r="A64" s="229" t="s">
        <v>552</v>
      </c>
    </row>
    <row r="65" spans="1:1" x14ac:dyDescent="0.3">
      <c r="A65" s="230" t="s">
        <v>559</v>
      </c>
    </row>
    <row r="66" spans="1:1" x14ac:dyDescent="0.3">
      <c r="A66" s="224" t="s">
        <v>560</v>
      </c>
    </row>
    <row r="67" spans="1:1" x14ac:dyDescent="0.3">
      <c r="A67" s="224" t="s">
        <v>561</v>
      </c>
    </row>
    <row r="68" spans="1:1" ht="28.8" x14ac:dyDescent="0.3">
      <c r="A68" s="224" t="s">
        <v>562</v>
      </c>
    </row>
    <row r="69" spans="1:1" x14ac:dyDescent="0.3">
      <c r="A69" s="224"/>
    </row>
    <row r="70" spans="1:1" x14ac:dyDescent="0.3">
      <c r="A70" s="222" t="s">
        <v>563</v>
      </c>
    </row>
    <row r="71" spans="1:1" x14ac:dyDescent="0.3">
      <c r="A71" s="224" t="s">
        <v>564</v>
      </c>
    </row>
    <row r="72" spans="1:1" x14ac:dyDescent="0.3">
      <c r="A72" s="224"/>
    </row>
    <row r="73" spans="1:1" x14ac:dyDescent="0.3">
      <c r="A73" s="222" t="s">
        <v>565</v>
      </c>
    </row>
    <row r="74" spans="1:1" x14ac:dyDescent="0.3">
      <c r="A74" s="231" t="s">
        <v>566</v>
      </c>
    </row>
    <row r="75" spans="1:1" x14ac:dyDescent="0.3">
      <c r="A75" s="231" t="s">
        <v>567</v>
      </c>
    </row>
    <row r="76" spans="1:1" x14ac:dyDescent="0.3">
      <c r="A76" s="231" t="s">
        <v>583</v>
      </c>
    </row>
    <row r="77" spans="1:1" ht="28.8" x14ac:dyDescent="0.3">
      <c r="A77" s="231" t="s">
        <v>568</v>
      </c>
    </row>
    <row r="78" spans="1:1" x14ac:dyDescent="0.3">
      <c r="A78" s="231" t="s">
        <v>569</v>
      </c>
    </row>
    <row r="79" spans="1:1" x14ac:dyDescent="0.3">
      <c r="A79" s="231" t="s">
        <v>570</v>
      </c>
    </row>
    <row r="80" spans="1:1" ht="28.8" x14ac:dyDescent="0.3">
      <c r="A80" s="231" t="s">
        <v>571</v>
      </c>
    </row>
    <row r="81" spans="1:1" x14ac:dyDescent="0.3">
      <c r="A81" s="231" t="s">
        <v>572</v>
      </c>
    </row>
    <row r="82" spans="1:1" x14ac:dyDescent="0.3">
      <c r="A82" s="231" t="s">
        <v>573</v>
      </c>
    </row>
    <row r="83" spans="1:1" ht="28.8" x14ac:dyDescent="0.3">
      <c r="A83" s="231" t="s">
        <v>574</v>
      </c>
    </row>
    <row r="84" spans="1:1" x14ac:dyDescent="0.3">
      <c r="A84" s="231" t="s">
        <v>575</v>
      </c>
    </row>
    <row r="85" spans="1:1" x14ac:dyDescent="0.3">
      <c r="A85" s="231" t="s">
        <v>576</v>
      </c>
    </row>
    <row r="86" spans="1:1" ht="28.8" x14ac:dyDescent="0.3">
      <c r="A86" s="231" t="s">
        <v>577</v>
      </c>
    </row>
    <row r="87" spans="1:1" x14ac:dyDescent="0.3">
      <c r="A87" s="231" t="s">
        <v>578</v>
      </c>
    </row>
    <row r="88" spans="1:1" ht="28.8" x14ac:dyDescent="0.3">
      <c r="A88" s="231" t="s">
        <v>584</v>
      </c>
    </row>
    <row r="89" spans="1:1" x14ac:dyDescent="0.3">
      <c r="A89" s="231"/>
    </row>
    <row r="90" spans="1:1" x14ac:dyDescent="0.3">
      <c r="A90" s="222" t="s">
        <v>579</v>
      </c>
    </row>
    <row r="91" spans="1:1" x14ac:dyDescent="0.3">
      <c r="A91" s="224" t="s">
        <v>580</v>
      </c>
    </row>
    <row r="92" spans="1:1" x14ac:dyDescent="0.3">
      <c r="A92" s="224"/>
    </row>
    <row r="93" spans="1:1" x14ac:dyDescent="0.3">
      <c r="A93" s="232" t="s">
        <v>581</v>
      </c>
    </row>
    <row r="94" spans="1:1" ht="28.8" x14ac:dyDescent="0.3">
      <c r="A94" s="233" t="s">
        <v>586</v>
      </c>
    </row>
    <row r="95" spans="1:1" x14ac:dyDescent="0.3">
      <c r="A95" s="232"/>
    </row>
    <row r="96" spans="1:1" x14ac:dyDescent="0.3">
      <c r="A96" s="232"/>
    </row>
    <row r="97" spans="1:1" x14ac:dyDescent="0.3">
      <c r="A97" s="231"/>
    </row>
  </sheetData>
  <sheetProtection algorithmName="SHA-512" hashValue="hiy4B4wx+oA4+SXMxm82hlnIiSniQAyibUvaY0QtVJG3GLctvGeSvkKD0bOxQL5ceQoQywHoFXBXkM/u4mBNeQ==" saltValue="jW8gOHVbeN4eRr80GwsbMg==" spinCount="100000" sheet="1" objects="1" scenarios="1"/>
  <pageMargins left="0.23622047244094491" right="0.23622047244094491" top="0.74803149606299213" bottom="0.74803149606299213" header="0.31496062992125984" footer="0.31496062992125984"/>
  <pageSetup scale="99" fitToHeight="0" orientation="landscape" horizontalDpi="4294967293" verticalDpi="4294967293" r:id="rId1"/>
  <headerFooter>
    <oddHeader>&amp;CCity of Winnipeg
497-2025-Form_B-Prices Water Meter Renewal and AMS Project</oddHeader>
    <oddFooter>&amp;LCity of Winnipeg, MB&amp;C&amp;A | Page &amp;P of &amp;N&amp;RDiameter Services copyright 2025</oddFooter>
  </headerFooter>
  <rowBreaks count="1" manualBreakCount="1">
    <brk id="4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2B36F-59C7-4940-BEC4-4EFB84A8B91A}">
  <dimension ref="A1:K23"/>
  <sheetViews>
    <sheetView workbookViewId="0">
      <selection activeCell="D48" sqref="D48"/>
    </sheetView>
  </sheetViews>
  <sheetFormatPr defaultRowHeight="14.4" x14ac:dyDescent="0.3"/>
  <cols>
    <col min="4" max="4" width="10.21875" customWidth="1"/>
    <col min="5" max="5" width="34.77734375" customWidth="1"/>
  </cols>
  <sheetData>
    <row r="1" spans="1:11" ht="21.6" thickBot="1" x14ac:dyDescent="0.35">
      <c r="A1" s="279" t="s">
        <v>1</v>
      </c>
      <c r="B1" s="280"/>
      <c r="C1" s="280"/>
      <c r="D1" s="281"/>
      <c r="E1" s="270" t="str">
        <f>'B Price Form Summary'!E1</f>
        <v>City of Winnipeg</v>
      </c>
      <c r="F1" s="271"/>
      <c r="G1" s="271"/>
      <c r="H1" s="271"/>
      <c r="I1" s="271"/>
      <c r="J1" s="271"/>
      <c r="K1" s="271"/>
    </row>
    <row r="2" spans="1:11" ht="21.6" thickBot="1" x14ac:dyDescent="0.35">
      <c r="A2" s="279" t="s">
        <v>2</v>
      </c>
      <c r="B2" s="280"/>
      <c r="C2" s="280"/>
      <c r="D2" s="281"/>
      <c r="E2" s="270" t="str">
        <f>'B Price Form Summary'!E2</f>
        <v>Name of Proponent</v>
      </c>
      <c r="F2" s="271"/>
      <c r="G2" s="271"/>
      <c r="H2" s="271"/>
      <c r="I2" s="271"/>
      <c r="J2" s="271"/>
      <c r="K2" s="271"/>
    </row>
    <row r="3" spans="1:11" ht="43.95" customHeight="1" thickBot="1" x14ac:dyDescent="0.35">
      <c r="A3" s="279" t="s">
        <v>3</v>
      </c>
      <c r="B3" s="280"/>
      <c r="C3" s="280"/>
      <c r="D3" s="281"/>
      <c r="E3" s="270" t="str">
        <f>'B Price Form Summary'!E3</f>
        <v>497-2025_RFP - Supply of Advanced Meter Infrastructure and Water Meter Solution</v>
      </c>
      <c r="F3" s="271"/>
      <c r="G3" s="271"/>
      <c r="H3" s="271"/>
      <c r="I3" s="271"/>
      <c r="J3" s="271"/>
      <c r="K3" s="271"/>
    </row>
    <row r="4" spans="1:11" ht="21.6" thickBot="1" x14ac:dyDescent="0.35">
      <c r="A4" s="316" t="s">
        <v>291</v>
      </c>
      <c r="B4" s="317"/>
      <c r="C4" s="317"/>
      <c r="D4" s="317"/>
      <c r="E4" s="317"/>
      <c r="F4" s="317"/>
      <c r="G4" s="317"/>
      <c r="H4" s="317"/>
      <c r="I4" s="317"/>
      <c r="J4" s="317"/>
      <c r="K4" s="317"/>
    </row>
    <row r="5" spans="1:11" ht="38.25" customHeight="1" thickBot="1" x14ac:dyDescent="0.35">
      <c r="A5" s="344"/>
      <c r="B5" s="344"/>
      <c r="C5" s="345"/>
      <c r="D5" s="7" t="s">
        <v>211</v>
      </c>
      <c r="E5" s="54" t="s">
        <v>48</v>
      </c>
      <c r="F5" s="54">
        <v>2026</v>
      </c>
      <c r="G5" s="54">
        <v>2027</v>
      </c>
      <c r="H5" s="54">
        <v>2028</v>
      </c>
      <c r="I5" s="54">
        <v>2029</v>
      </c>
      <c r="J5" s="54">
        <v>2030</v>
      </c>
      <c r="K5" s="7" t="s">
        <v>212</v>
      </c>
    </row>
    <row r="6" spans="1:11" ht="20.25" customHeight="1" thickBot="1" x14ac:dyDescent="0.35">
      <c r="A6" s="346"/>
      <c r="B6" s="346"/>
      <c r="C6" s="347"/>
      <c r="D6" s="66" t="s">
        <v>252</v>
      </c>
      <c r="E6" s="183" t="s">
        <v>284</v>
      </c>
      <c r="F6" s="158">
        <v>100</v>
      </c>
      <c r="G6" s="158">
        <v>100</v>
      </c>
      <c r="H6" s="158">
        <v>100</v>
      </c>
      <c r="I6" s="158">
        <v>100</v>
      </c>
      <c r="J6" s="158">
        <v>100</v>
      </c>
      <c r="K6" s="159">
        <f t="shared" ref="K6:K15" si="0">SUM(F6:J6)</f>
        <v>500</v>
      </c>
    </row>
    <row r="7" spans="1:11" ht="15" thickBot="1" x14ac:dyDescent="0.35">
      <c r="A7" s="346"/>
      <c r="B7" s="346"/>
      <c r="C7" s="347"/>
      <c r="D7" s="66" t="s">
        <v>213</v>
      </c>
      <c r="E7" s="183" t="s">
        <v>284</v>
      </c>
      <c r="F7" s="158">
        <v>5</v>
      </c>
      <c r="G7" s="158">
        <v>5</v>
      </c>
      <c r="H7" s="158">
        <v>5</v>
      </c>
      <c r="I7" s="158">
        <v>5</v>
      </c>
      <c r="J7" s="158">
        <v>5</v>
      </c>
      <c r="K7" s="159">
        <f t="shared" si="0"/>
        <v>25</v>
      </c>
    </row>
    <row r="8" spans="1:11" ht="15" thickBot="1" x14ac:dyDescent="0.35">
      <c r="A8" s="346"/>
      <c r="B8" s="346"/>
      <c r="C8" s="347"/>
      <c r="D8" s="9" t="s">
        <v>214</v>
      </c>
      <c r="E8" s="183" t="s">
        <v>284</v>
      </c>
      <c r="F8" s="158">
        <v>5</v>
      </c>
      <c r="G8" s="158">
        <v>5</v>
      </c>
      <c r="H8" s="158">
        <v>5</v>
      </c>
      <c r="I8" s="158">
        <v>5</v>
      </c>
      <c r="J8" s="158">
        <v>5</v>
      </c>
      <c r="K8" s="159">
        <f t="shared" si="0"/>
        <v>25</v>
      </c>
    </row>
    <row r="9" spans="1:11" ht="15" thickBot="1" x14ac:dyDescent="0.35">
      <c r="A9" s="346"/>
      <c r="B9" s="346"/>
      <c r="C9" s="347"/>
      <c r="D9" s="9" t="s">
        <v>282</v>
      </c>
      <c r="E9" s="183" t="s">
        <v>284</v>
      </c>
      <c r="F9" s="158">
        <v>5</v>
      </c>
      <c r="G9" s="158">
        <v>5</v>
      </c>
      <c r="H9" s="158">
        <v>5</v>
      </c>
      <c r="I9" s="158">
        <v>5</v>
      </c>
      <c r="J9" s="158">
        <v>5</v>
      </c>
      <c r="K9" s="159">
        <f t="shared" si="0"/>
        <v>25</v>
      </c>
    </row>
    <row r="10" spans="1:11" ht="15" thickBot="1" x14ac:dyDescent="0.35">
      <c r="A10" s="346"/>
      <c r="B10" s="346"/>
      <c r="C10" s="347"/>
      <c r="D10" s="9" t="s">
        <v>215</v>
      </c>
      <c r="E10" s="183" t="s">
        <v>284</v>
      </c>
      <c r="F10" s="158">
        <v>5</v>
      </c>
      <c r="G10" s="158">
        <v>5</v>
      </c>
      <c r="H10" s="158">
        <v>5</v>
      </c>
      <c r="I10" s="158">
        <v>5</v>
      </c>
      <c r="J10" s="158">
        <v>5</v>
      </c>
      <c r="K10" s="159">
        <f t="shared" si="0"/>
        <v>25</v>
      </c>
    </row>
    <row r="11" spans="1:11" ht="15" thickBot="1" x14ac:dyDescent="0.35">
      <c r="A11" s="346"/>
      <c r="B11" s="346"/>
      <c r="C11" s="347"/>
      <c r="D11" s="9" t="s">
        <v>216</v>
      </c>
      <c r="E11" s="183" t="s">
        <v>284</v>
      </c>
      <c r="F11" s="158">
        <v>0</v>
      </c>
      <c r="G11" s="158">
        <v>1</v>
      </c>
      <c r="H11" s="158">
        <v>1</v>
      </c>
      <c r="I11" s="158">
        <v>0</v>
      </c>
      <c r="J11" s="158">
        <v>0</v>
      </c>
      <c r="K11" s="159">
        <f t="shared" si="0"/>
        <v>2</v>
      </c>
    </row>
    <row r="12" spans="1:11" ht="15" thickBot="1" x14ac:dyDescent="0.35">
      <c r="A12" s="346"/>
      <c r="B12" s="346"/>
      <c r="C12" s="347"/>
      <c r="D12" s="9" t="s">
        <v>217</v>
      </c>
      <c r="E12" s="183" t="s">
        <v>284</v>
      </c>
      <c r="F12" s="158">
        <v>0</v>
      </c>
      <c r="G12" s="158">
        <v>1</v>
      </c>
      <c r="H12" s="158">
        <v>1</v>
      </c>
      <c r="I12" s="158">
        <v>0</v>
      </c>
      <c r="J12" s="158">
        <v>0</v>
      </c>
      <c r="K12" s="159">
        <f t="shared" si="0"/>
        <v>2</v>
      </c>
    </row>
    <row r="13" spans="1:11" ht="15" thickBot="1" x14ac:dyDescent="0.35">
      <c r="A13" s="346"/>
      <c r="B13" s="346"/>
      <c r="C13" s="347"/>
      <c r="D13" s="9" t="s">
        <v>218</v>
      </c>
      <c r="E13" s="183" t="s">
        <v>284</v>
      </c>
      <c r="F13" s="158">
        <v>0</v>
      </c>
      <c r="G13" s="158">
        <v>1</v>
      </c>
      <c r="H13" s="158">
        <v>1</v>
      </c>
      <c r="I13" s="158">
        <v>0</v>
      </c>
      <c r="J13" s="158">
        <v>0</v>
      </c>
      <c r="K13" s="159">
        <f t="shared" si="0"/>
        <v>2</v>
      </c>
    </row>
    <row r="14" spans="1:11" ht="15" thickBot="1" x14ac:dyDescent="0.35">
      <c r="A14" s="346"/>
      <c r="B14" s="346"/>
      <c r="C14" s="347"/>
      <c r="D14" s="9" t="s">
        <v>219</v>
      </c>
      <c r="E14" s="183" t="s">
        <v>284</v>
      </c>
      <c r="F14" s="158">
        <v>0</v>
      </c>
      <c r="G14" s="158">
        <v>1</v>
      </c>
      <c r="H14" s="158">
        <v>1</v>
      </c>
      <c r="I14" s="158">
        <v>0</v>
      </c>
      <c r="J14" s="158">
        <v>0</v>
      </c>
      <c r="K14" s="159">
        <f t="shared" si="0"/>
        <v>2</v>
      </c>
    </row>
    <row r="15" spans="1:11" ht="15" thickBot="1" x14ac:dyDescent="0.35">
      <c r="A15" s="346"/>
      <c r="B15" s="346"/>
      <c r="C15" s="347"/>
      <c r="D15" s="184" t="s">
        <v>220</v>
      </c>
      <c r="E15" s="183" t="s">
        <v>284</v>
      </c>
      <c r="F15" s="158">
        <v>0</v>
      </c>
      <c r="G15" s="158">
        <v>1</v>
      </c>
      <c r="H15" s="158">
        <v>1</v>
      </c>
      <c r="I15" s="158">
        <v>0</v>
      </c>
      <c r="J15" s="158">
        <v>0</v>
      </c>
      <c r="K15" s="159">
        <f t="shared" si="0"/>
        <v>2</v>
      </c>
    </row>
    <row r="16" spans="1:11" ht="15" thickBot="1" x14ac:dyDescent="0.35">
      <c r="A16" s="346"/>
      <c r="B16" s="346"/>
      <c r="C16" s="347"/>
      <c r="D16" s="9" t="s">
        <v>216</v>
      </c>
      <c r="E16" s="183" t="s">
        <v>285</v>
      </c>
      <c r="F16" s="158">
        <v>0</v>
      </c>
      <c r="G16" s="158">
        <v>1</v>
      </c>
      <c r="H16" s="158">
        <v>0</v>
      </c>
      <c r="I16" s="158">
        <v>0</v>
      </c>
      <c r="J16" s="158">
        <v>0</v>
      </c>
      <c r="K16" s="159">
        <f t="shared" ref="K16:K23" si="1">SUM(F16:J16)</f>
        <v>1</v>
      </c>
    </row>
    <row r="17" spans="1:11" ht="15" thickBot="1" x14ac:dyDescent="0.35">
      <c r="A17" s="346"/>
      <c r="B17" s="346"/>
      <c r="C17" s="347"/>
      <c r="D17" s="9" t="s">
        <v>217</v>
      </c>
      <c r="E17" s="183" t="s">
        <v>285</v>
      </c>
      <c r="F17" s="158">
        <v>0</v>
      </c>
      <c r="G17" s="158">
        <v>1</v>
      </c>
      <c r="H17" s="158">
        <v>0</v>
      </c>
      <c r="I17" s="158">
        <v>0</v>
      </c>
      <c r="J17" s="158">
        <v>0</v>
      </c>
      <c r="K17" s="159">
        <f t="shared" si="1"/>
        <v>1</v>
      </c>
    </row>
    <row r="18" spans="1:11" ht="15" thickBot="1" x14ac:dyDescent="0.35">
      <c r="A18" s="346"/>
      <c r="B18" s="346"/>
      <c r="C18" s="347"/>
      <c r="D18" s="9" t="s">
        <v>218</v>
      </c>
      <c r="E18" s="183" t="s">
        <v>285</v>
      </c>
      <c r="F18" s="158">
        <v>0</v>
      </c>
      <c r="G18" s="158">
        <v>7</v>
      </c>
      <c r="H18" s="158">
        <v>0</v>
      </c>
      <c r="I18" s="158">
        <v>0</v>
      </c>
      <c r="J18" s="158">
        <v>0</v>
      </c>
      <c r="K18" s="159">
        <f t="shared" si="1"/>
        <v>7</v>
      </c>
    </row>
    <row r="19" spans="1:11" ht="15" thickBot="1" x14ac:dyDescent="0.35">
      <c r="A19" s="346"/>
      <c r="B19" s="346"/>
      <c r="C19" s="347"/>
      <c r="D19" s="9" t="s">
        <v>219</v>
      </c>
      <c r="E19" s="183" t="s">
        <v>285</v>
      </c>
      <c r="F19" s="158">
        <v>0</v>
      </c>
      <c r="G19" s="158">
        <v>3</v>
      </c>
      <c r="H19" s="158">
        <v>0</v>
      </c>
      <c r="I19" s="158">
        <v>0</v>
      </c>
      <c r="J19" s="158">
        <v>0</v>
      </c>
      <c r="K19" s="159">
        <f t="shared" si="1"/>
        <v>3</v>
      </c>
    </row>
    <row r="20" spans="1:11" ht="15" thickBot="1" x14ac:dyDescent="0.35">
      <c r="A20" s="346"/>
      <c r="B20" s="346"/>
      <c r="C20" s="347"/>
      <c r="D20" s="184" t="s">
        <v>220</v>
      </c>
      <c r="E20" s="183" t="s">
        <v>285</v>
      </c>
      <c r="F20" s="158">
        <v>0</v>
      </c>
      <c r="G20" s="158">
        <v>1</v>
      </c>
      <c r="H20" s="158">
        <v>0</v>
      </c>
      <c r="I20" s="158">
        <v>0</v>
      </c>
      <c r="J20" s="158">
        <v>0</v>
      </c>
      <c r="K20" s="159">
        <f t="shared" si="1"/>
        <v>1</v>
      </c>
    </row>
    <row r="21" spans="1:11" ht="15" thickBot="1" x14ac:dyDescent="0.35">
      <c r="A21" s="346"/>
      <c r="B21" s="346"/>
      <c r="C21" s="347"/>
      <c r="D21" s="184" t="s">
        <v>58</v>
      </c>
      <c r="E21" s="183" t="s">
        <v>286</v>
      </c>
      <c r="F21" s="158">
        <v>100</v>
      </c>
      <c r="G21" s="158">
        <v>100</v>
      </c>
      <c r="H21" s="158">
        <v>100</v>
      </c>
      <c r="I21" s="158">
        <v>100</v>
      </c>
      <c r="J21" s="158">
        <v>100</v>
      </c>
      <c r="K21" s="159">
        <f t="shared" si="1"/>
        <v>500</v>
      </c>
    </row>
    <row r="22" spans="1:11" ht="15" thickBot="1" x14ac:dyDescent="0.35">
      <c r="A22" s="346"/>
      <c r="B22" s="346"/>
      <c r="C22" s="347"/>
      <c r="D22" s="164" t="s">
        <v>58</v>
      </c>
      <c r="E22" s="183" t="s">
        <v>287</v>
      </c>
      <c r="F22" s="158">
        <v>1</v>
      </c>
      <c r="G22" s="158">
        <v>1</v>
      </c>
      <c r="H22" s="158">
        <v>1</v>
      </c>
      <c r="I22" s="158">
        <v>1</v>
      </c>
      <c r="J22" s="158">
        <v>1</v>
      </c>
      <c r="K22" s="159">
        <f t="shared" si="1"/>
        <v>5</v>
      </c>
    </row>
    <row r="23" spans="1:11" ht="29.4" thickBot="1" x14ac:dyDescent="0.35">
      <c r="A23" s="346"/>
      <c r="B23" s="346"/>
      <c r="C23" s="347"/>
      <c r="D23" s="164" t="s">
        <v>58</v>
      </c>
      <c r="E23" s="185" t="s">
        <v>288</v>
      </c>
      <c r="F23" s="158">
        <v>1</v>
      </c>
      <c r="G23" s="158"/>
      <c r="H23" s="158"/>
      <c r="I23" s="158"/>
      <c r="J23" s="158"/>
      <c r="K23" s="159">
        <f t="shared" si="1"/>
        <v>1</v>
      </c>
    </row>
  </sheetData>
  <sheetProtection algorithmName="SHA-512" hashValue="AXUXLaXxuZjSCUdJhGb5bt5KERkFcBK5kFSNzJ3kIpspmPkm81QZxwiWza4eSDeVtxlIBY5kgi4+LRukkThQEA==" saltValue="8YFS10CxXVBfVsv8k28zhg==" spinCount="100000" sheet="1" objects="1" scenarios="1"/>
  <mergeCells count="8">
    <mergeCell ref="A4:K4"/>
    <mergeCell ref="A5:C23"/>
    <mergeCell ref="A1:D1"/>
    <mergeCell ref="E1:K1"/>
    <mergeCell ref="A2:D2"/>
    <mergeCell ref="E2:K2"/>
    <mergeCell ref="A3:D3"/>
    <mergeCell ref="E3:K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5" tint="0.79998168889431442"/>
    <pageSetUpPr fitToPage="1"/>
  </sheetPr>
  <dimension ref="A1:S59"/>
  <sheetViews>
    <sheetView zoomScale="80" zoomScaleNormal="80" workbookViewId="0">
      <selection activeCell="N22" sqref="N22"/>
    </sheetView>
  </sheetViews>
  <sheetFormatPr defaultColWidth="9.21875" defaultRowHeight="14.4" x14ac:dyDescent="0.3"/>
  <cols>
    <col min="1" max="1" width="9.21875" style="1"/>
    <col min="2" max="2" width="18.21875" style="1" customWidth="1"/>
    <col min="3" max="3" width="51.77734375" style="1" customWidth="1"/>
    <col min="4" max="4" width="20.77734375" style="1" customWidth="1"/>
    <col min="5" max="5" width="9.21875" style="1"/>
    <col min="6" max="6" width="11.44140625" style="1" customWidth="1"/>
    <col min="7" max="7" width="9.44140625" style="1" bestFit="1" customWidth="1"/>
    <col min="8" max="8" width="15.5546875" style="1" customWidth="1"/>
    <col min="9" max="9" width="13.77734375" style="1" hidden="1" customWidth="1"/>
    <col min="10" max="10" width="16.5546875" style="1" customWidth="1"/>
    <col min="11" max="11" width="23.77734375" style="1" customWidth="1"/>
    <col min="12" max="12" width="16.77734375" style="1" customWidth="1"/>
    <col min="13" max="13" width="23.5546875" style="1" customWidth="1"/>
    <col min="14" max="14" width="18.5546875" style="1" customWidth="1"/>
    <col min="15" max="15" width="23.5546875" style="1" customWidth="1"/>
    <col min="16" max="16" width="18.5546875" style="1" customWidth="1"/>
    <col min="17" max="17" width="23.5546875" style="1" customWidth="1"/>
    <col min="18" max="18" width="18.21875" style="1" customWidth="1"/>
    <col min="19" max="19" width="23.5546875" style="1" customWidth="1"/>
    <col min="20" max="16384" width="9.21875" style="1"/>
  </cols>
  <sheetData>
    <row r="1" spans="1:19" ht="21.75" customHeight="1" thickBot="1" x14ac:dyDescent="0.35">
      <c r="A1" s="279" t="s">
        <v>1</v>
      </c>
      <c r="B1" s="280"/>
      <c r="C1" s="280"/>
      <c r="D1" s="281"/>
      <c r="E1" s="270" t="str">
        <f>'B Price Form Summary'!E1</f>
        <v>City of Winnipeg</v>
      </c>
      <c r="F1" s="271"/>
      <c r="G1" s="271"/>
      <c r="H1" s="271"/>
      <c r="I1" s="271"/>
      <c r="J1" s="271"/>
      <c r="K1" s="272"/>
      <c r="L1" s="192"/>
      <c r="M1" s="106"/>
    </row>
    <row r="2" spans="1:19" ht="21.6" thickBot="1" x14ac:dyDescent="0.35">
      <c r="A2" s="279" t="s">
        <v>2</v>
      </c>
      <c r="B2" s="280"/>
      <c r="C2" s="280"/>
      <c r="D2" s="281"/>
      <c r="E2" s="270" t="str">
        <f>+'B Price Form Summary'!E2</f>
        <v>Name of Proponent</v>
      </c>
      <c r="F2" s="271"/>
      <c r="G2" s="271"/>
      <c r="H2" s="271"/>
      <c r="I2" s="271"/>
      <c r="J2" s="271"/>
      <c r="K2" s="272"/>
      <c r="L2" s="192"/>
    </row>
    <row r="3" spans="1:19" ht="54.45" customHeight="1" thickBot="1" x14ac:dyDescent="0.35">
      <c r="A3" s="279" t="s">
        <v>3</v>
      </c>
      <c r="B3" s="280"/>
      <c r="C3" s="280"/>
      <c r="D3" s="280"/>
      <c r="E3" s="270" t="str">
        <f>+'B Price Form Summary'!E3</f>
        <v>497-2025_RFP - Supply of Advanced Meter Infrastructure and Water Meter Solution</v>
      </c>
      <c r="F3" s="271"/>
      <c r="G3" s="271"/>
      <c r="H3" s="271"/>
      <c r="I3" s="271"/>
      <c r="J3" s="271"/>
      <c r="K3" s="272"/>
      <c r="L3" s="192"/>
    </row>
    <row r="4" spans="1:19" ht="21.6" thickBot="1" x14ac:dyDescent="0.35">
      <c r="A4" s="321" t="s">
        <v>524</v>
      </c>
      <c r="B4" s="322"/>
      <c r="C4" s="322"/>
      <c r="D4" s="322"/>
      <c r="E4" s="322"/>
      <c r="F4" s="322"/>
      <c r="G4" s="322"/>
      <c r="H4" s="322"/>
      <c r="I4" s="322"/>
      <c r="J4" s="322"/>
      <c r="K4" s="323"/>
      <c r="L4" s="193"/>
    </row>
    <row r="5" spans="1:19" ht="46.5" customHeight="1" thickBot="1" x14ac:dyDescent="0.35">
      <c r="A5" s="324" t="s">
        <v>90</v>
      </c>
      <c r="B5" s="325"/>
      <c r="C5" s="325"/>
      <c r="D5" s="325"/>
      <c r="E5" s="325"/>
      <c r="F5" s="325"/>
      <c r="G5" s="325"/>
      <c r="H5" s="325"/>
      <c r="I5" s="325"/>
      <c r="J5" s="325"/>
      <c r="K5" s="325"/>
      <c r="L5" s="325"/>
      <c r="M5" s="325"/>
      <c r="N5" s="325"/>
      <c r="O5" s="325"/>
      <c r="P5" s="325"/>
      <c r="Q5" s="325"/>
      <c r="R5" s="325"/>
      <c r="S5" s="326"/>
    </row>
    <row r="6" spans="1:19" ht="31.8" thickBot="1" x14ac:dyDescent="0.35">
      <c r="A6" s="2" t="s">
        <v>46</v>
      </c>
      <c r="B6" s="2" t="s">
        <v>47</v>
      </c>
      <c r="C6" s="42" t="s">
        <v>48</v>
      </c>
      <c r="D6" s="42" t="s">
        <v>49</v>
      </c>
      <c r="E6" s="42" t="s">
        <v>50</v>
      </c>
      <c r="F6" s="7" t="s">
        <v>51</v>
      </c>
      <c r="G6" s="42" t="s">
        <v>92</v>
      </c>
      <c r="H6" s="42" t="s">
        <v>93</v>
      </c>
      <c r="I6" s="43" t="s">
        <v>52</v>
      </c>
      <c r="J6" s="90">
        <v>2026</v>
      </c>
      <c r="K6" s="90" t="s">
        <v>514</v>
      </c>
      <c r="L6" s="90">
        <v>2027</v>
      </c>
      <c r="M6" s="90" t="s">
        <v>515</v>
      </c>
      <c r="N6" s="90">
        <v>2028</v>
      </c>
      <c r="O6" s="90" t="s">
        <v>516</v>
      </c>
      <c r="P6" s="90">
        <v>2029</v>
      </c>
      <c r="Q6" s="90" t="s">
        <v>84</v>
      </c>
      <c r="R6" s="90">
        <v>2030</v>
      </c>
      <c r="S6" s="90" t="s">
        <v>517</v>
      </c>
    </row>
    <row r="7" spans="1:19" ht="36.75" customHeight="1" thickBot="1" x14ac:dyDescent="0.35">
      <c r="A7" s="84" t="s">
        <v>182</v>
      </c>
      <c r="B7" s="384" t="s">
        <v>94</v>
      </c>
      <c r="C7" s="385" t="s">
        <v>263</v>
      </c>
      <c r="D7" s="23" t="s">
        <v>95</v>
      </c>
      <c r="E7" s="28" t="s">
        <v>55</v>
      </c>
      <c r="F7" s="88" t="s">
        <v>60</v>
      </c>
      <c r="G7" s="4">
        <v>1</v>
      </c>
      <c r="H7" s="24"/>
      <c r="I7" s="191">
        <f t="shared" ref="I7:I11" si="0">+ROUNDUP(H7*G7,0)</f>
        <v>0</v>
      </c>
      <c r="J7" s="12">
        <v>0</v>
      </c>
      <c r="K7" s="13">
        <f>$J$7*'B5A Radio Qty Per Year'!$F$8</f>
        <v>0</v>
      </c>
      <c r="L7" s="12">
        <v>0</v>
      </c>
      <c r="M7" s="13">
        <f>K7+($L$7*'B5A Radio Qty Per Year'!$G$8)</f>
        <v>0</v>
      </c>
      <c r="N7" s="12">
        <v>0</v>
      </c>
      <c r="O7" s="13">
        <f>M7+($N$7*'B5A Radio Qty Per Year'!$H$8)</f>
        <v>0</v>
      </c>
      <c r="P7" s="12">
        <v>0</v>
      </c>
      <c r="Q7" s="13">
        <f>O7+($P$7*'B5A Radio Qty Per Year'!$I$8)</f>
        <v>0</v>
      </c>
      <c r="R7" s="12">
        <v>0</v>
      </c>
      <c r="S7" s="13">
        <f>Q7+($R$7*'B5A Radio Qty Per Year'!$J$8)</f>
        <v>0</v>
      </c>
    </row>
    <row r="8" spans="1:19" ht="45" customHeight="1" thickBot="1" x14ac:dyDescent="0.35">
      <c r="A8" s="84" t="s">
        <v>183</v>
      </c>
      <c r="B8" s="384"/>
      <c r="C8" s="386"/>
      <c r="D8" s="84" t="s">
        <v>260</v>
      </c>
      <c r="E8" s="27" t="s">
        <v>55</v>
      </c>
      <c r="F8" s="29" t="s">
        <v>60</v>
      </c>
      <c r="G8" s="4">
        <v>1</v>
      </c>
      <c r="H8" s="24"/>
      <c r="I8" s="191">
        <f>+ROUNDUP(H8*G8,0)</f>
        <v>0</v>
      </c>
      <c r="J8" s="12">
        <v>0</v>
      </c>
      <c r="K8" s="13">
        <f>$J$8*'B5A Radio Qty Per Year'!$F$8</f>
        <v>0</v>
      </c>
      <c r="L8" s="12">
        <v>0</v>
      </c>
      <c r="M8" s="13">
        <f>K8+($L$8*'B5A Radio Qty Per Year'!$G$8)</f>
        <v>0</v>
      </c>
      <c r="N8" s="12">
        <v>0</v>
      </c>
      <c r="O8" s="13">
        <f>M8+($N$8*'B5A Radio Qty Per Year'!$H$8)</f>
        <v>0</v>
      </c>
      <c r="P8" s="12">
        <v>0</v>
      </c>
      <c r="Q8" s="13">
        <f>O8+($P$8*'B5A Radio Qty Per Year'!$I$8)</f>
        <v>0</v>
      </c>
      <c r="R8" s="12">
        <v>0</v>
      </c>
      <c r="S8" s="13">
        <f>Q8+($R$8*'B5A Radio Qty Per Year'!$J$8)</f>
        <v>0</v>
      </c>
    </row>
    <row r="9" spans="1:19" ht="109.5" customHeight="1" thickBot="1" x14ac:dyDescent="0.35">
      <c r="A9" s="84" t="s">
        <v>184</v>
      </c>
      <c r="B9" s="9" t="s">
        <v>94</v>
      </c>
      <c r="C9" s="188" t="s">
        <v>145</v>
      </c>
      <c r="D9" s="33" t="s">
        <v>87</v>
      </c>
      <c r="E9" s="27" t="s">
        <v>55</v>
      </c>
      <c r="F9" s="29" t="s">
        <v>60</v>
      </c>
      <c r="G9" s="4">
        <v>1</v>
      </c>
      <c r="H9" s="92"/>
      <c r="I9" s="91">
        <f t="shared" si="0"/>
        <v>0</v>
      </c>
      <c r="J9" s="12">
        <v>0</v>
      </c>
      <c r="K9" s="13">
        <f>J9*$H$9</f>
        <v>0</v>
      </c>
      <c r="L9" s="12">
        <v>0</v>
      </c>
      <c r="M9" s="13">
        <f>+L9*$H$9</f>
        <v>0</v>
      </c>
      <c r="N9" s="12">
        <v>0</v>
      </c>
      <c r="O9" s="13">
        <f>N9*$H$9</f>
        <v>0</v>
      </c>
      <c r="P9" s="12">
        <v>0</v>
      </c>
      <c r="Q9" s="13">
        <f>P9*H9</f>
        <v>0</v>
      </c>
      <c r="R9" s="12">
        <v>0</v>
      </c>
      <c r="S9" s="13">
        <f>R9*$H$9</f>
        <v>0</v>
      </c>
    </row>
    <row r="10" spans="1:19" ht="96" customHeight="1" thickBot="1" x14ac:dyDescent="0.35">
      <c r="A10" s="84" t="s">
        <v>185</v>
      </c>
      <c r="B10" s="9" t="s">
        <v>94</v>
      </c>
      <c r="C10" s="206" t="s">
        <v>525</v>
      </c>
      <c r="D10" s="9" t="s">
        <v>87</v>
      </c>
      <c r="E10" s="27" t="s">
        <v>55</v>
      </c>
      <c r="F10" s="29" t="s">
        <v>60</v>
      </c>
      <c r="G10" s="4">
        <v>1</v>
      </c>
      <c r="H10" s="92"/>
      <c r="I10" s="91">
        <f t="shared" si="0"/>
        <v>0</v>
      </c>
      <c r="J10" s="12">
        <v>0</v>
      </c>
      <c r="K10" s="13">
        <f>J10*$H$10</f>
        <v>0</v>
      </c>
      <c r="L10" s="12">
        <v>0</v>
      </c>
      <c r="M10" s="13">
        <f>K10+($H$10*L10)</f>
        <v>0</v>
      </c>
      <c r="N10" s="12">
        <v>0</v>
      </c>
      <c r="O10" s="13">
        <f>M10+($N$10*H10)</f>
        <v>0</v>
      </c>
      <c r="P10" s="12">
        <v>0</v>
      </c>
      <c r="Q10" s="13">
        <f>O10+($P$10*H10)</f>
        <v>0</v>
      </c>
      <c r="R10" s="12">
        <v>0</v>
      </c>
      <c r="S10" s="13">
        <f>Q10+($R$10*H10)</f>
        <v>0</v>
      </c>
    </row>
    <row r="11" spans="1:19" ht="67.8" customHeight="1" thickBot="1" x14ac:dyDescent="0.35">
      <c r="A11" s="84" t="s">
        <v>186</v>
      </c>
      <c r="B11" s="9" t="s">
        <v>94</v>
      </c>
      <c r="C11" s="188" t="s">
        <v>96</v>
      </c>
      <c r="D11" s="9" t="s">
        <v>87</v>
      </c>
      <c r="E11" s="27" t="s">
        <v>55</v>
      </c>
      <c r="F11" s="29" t="s">
        <v>60</v>
      </c>
      <c r="G11" s="4">
        <v>1</v>
      </c>
      <c r="H11" s="4">
        <f>'B5A Radio Qty Per Year'!K7</f>
        <v>0</v>
      </c>
      <c r="I11" s="91">
        <f t="shared" si="0"/>
        <v>0</v>
      </c>
      <c r="J11" s="12">
        <v>0</v>
      </c>
      <c r="K11" s="13">
        <f>$J$11*'B5A Radio Qty Per Year'!$F$7</f>
        <v>0</v>
      </c>
      <c r="L11" s="12">
        <v>0</v>
      </c>
      <c r="M11" s="13">
        <f>K11+($L$11*'B2A Radio Qty by Year'!G7)</f>
        <v>0</v>
      </c>
      <c r="N11" s="12">
        <v>0</v>
      </c>
      <c r="O11" s="13">
        <f>M11+($N$11*'B2A Radio Qty by Year'!H7)</f>
        <v>0</v>
      </c>
      <c r="P11" s="12">
        <v>0</v>
      </c>
      <c r="Q11" s="13">
        <f>O11+($P$11*'B2A Radio Qty by Year'!I7)</f>
        <v>0</v>
      </c>
      <c r="R11" s="12">
        <v>0</v>
      </c>
      <c r="S11" s="13">
        <f>Q11+($R$11*'B2A Radio Qty by Year'!J7)</f>
        <v>0</v>
      </c>
    </row>
    <row r="12" spans="1:19" ht="21.6" thickBot="1" x14ac:dyDescent="0.45">
      <c r="A12" s="381" t="str">
        <f>+"Total - "&amp;A4 &amp;"(CDN$)"</f>
        <v>Total - B5 - Year One SaaS &amp; AMI Network Costs(CDN$)</v>
      </c>
      <c r="B12" s="382"/>
      <c r="C12" s="382"/>
      <c r="D12" s="382"/>
      <c r="E12" s="382"/>
      <c r="F12" s="382"/>
      <c r="G12" s="382"/>
      <c r="H12" s="382"/>
      <c r="I12" s="382"/>
      <c r="J12" s="383"/>
      <c r="K12" s="5">
        <f t="shared" ref="K12:S12" si="1">+SUM(K7:K11)</f>
        <v>0</v>
      </c>
      <c r="L12" s="5">
        <f t="shared" si="1"/>
        <v>0</v>
      </c>
      <c r="M12" s="5">
        <f t="shared" si="1"/>
        <v>0</v>
      </c>
      <c r="N12" s="5">
        <f t="shared" si="1"/>
        <v>0</v>
      </c>
      <c r="O12" s="5">
        <f t="shared" si="1"/>
        <v>0</v>
      </c>
      <c r="P12" s="5">
        <f t="shared" si="1"/>
        <v>0</v>
      </c>
      <c r="Q12" s="5">
        <f t="shared" si="1"/>
        <v>0</v>
      </c>
      <c r="R12" s="5">
        <f t="shared" si="1"/>
        <v>0</v>
      </c>
      <c r="S12" s="5">
        <f t="shared" si="1"/>
        <v>0</v>
      </c>
    </row>
    <row r="13" spans="1:19" ht="24" thickBot="1" x14ac:dyDescent="0.5">
      <c r="K13" s="41"/>
      <c r="L13" s="41"/>
    </row>
    <row r="14" spans="1:19" ht="21.75" customHeight="1" thickBot="1" x14ac:dyDescent="0.35">
      <c r="A14" s="316" t="s">
        <v>56</v>
      </c>
      <c r="B14" s="317"/>
      <c r="C14" s="317"/>
      <c r="D14" s="317"/>
      <c r="E14" s="327"/>
      <c r="F14" s="64"/>
      <c r="G14" s="64"/>
      <c r="H14" s="64"/>
      <c r="I14" s="64"/>
      <c r="J14" s="64"/>
    </row>
    <row r="15" spans="1:19" ht="45" customHeight="1" thickBot="1" x14ac:dyDescent="0.35">
      <c r="A15" s="31" t="s">
        <v>187</v>
      </c>
      <c r="B15" s="370"/>
      <c r="C15" s="319"/>
      <c r="D15" s="319"/>
      <c r="E15" s="320"/>
      <c r="H15" s="35"/>
    </row>
    <row r="16" spans="1:19" ht="45" customHeight="1" thickBot="1" x14ac:dyDescent="0.35">
      <c r="A16" s="31" t="s">
        <v>188</v>
      </c>
      <c r="B16" s="336"/>
      <c r="C16" s="336"/>
      <c r="D16" s="336"/>
      <c r="E16" s="337"/>
      <c r="H16" s="35"/>
    </row>
    <row r="17" spans="1:8" ht="45" customHeight="1" thickBot="1" x14ac:dyDescent="0.35">
      <c r="A17" s="31" t="s">
        <v>189</v>
      </c>
      <c r="B17" s="336"/>
      <c r="C17" s="336"/>
      <c r="D17" s="336"/>
      <c r="E17" s="337"/>
      <c r="H17" s="35"/>
    </row>
    <row r="18" spans="1:8" ht="45" customHeight="1" thickBot="1" x14ac:dyDescent="0.35">
      <c r="A18" s="31" t="s">
        <v>190</v>
      </c>
      <c r="B18" s="336"/>
      <c r="C18" s="336"/>
      <c r="D18" s="336"/>
      <c r="E18" s="337"/>
      <c r="H18" s="35"/>
    </row>
    <row r="19" spans="1:8" ht="45" customHeight="1" thickBot="1" x14ac:dyDescent="0.35">
      <c r="A19" s="31" t="s">
        <v>191</v>
      </c>
      <c r="B19" s="336"/>
      <c r="C19" s="336"/>
      <c r="D19" s="336"/>
      <c r="E19" s="337"/>
      <c r="H19" s="35"/>
    </row>
    <row r="20" spans="1:8" ht="45" customHeight="1" thickBot="1" x14ac:dyDescent="0.35">
      <c r="A20" s="31" t="s">
        <v>192</v>
      </c>
      <c r="B20" s="336"/>
      <c r="C20" s="336"/>
      <c r="D20" s="336"/>
      <c r="E20" s="337"/>
      <c r="H20" s="35"/>
    </row>
    <row r="21" spans="1:8" ht="45" customHeight="1" thickBot="1" x14ac:dyDescent="0.35">
      <c r="A21" s="31" t="s">
        <v>193</v>
      </c>
      <c r="B21" s="336"/>
      <c r="C21" s="336"/>
      <c r="D21" s="336"/>
      <c r="E21" s="337"/>
      <c r="H21" s="35"/>
    </row>
    <row r="22" spans="1:8" ht="45" customHeight="1" thickBot="1" x14ac:dyDescent="0.35">
      <c r="A22" s="31" t="s">
        <v>346</v>
      </c>
      <c r="B22" s="336"/>
      <c r="C22" s="336"/>
      <c r="D22" s="336"/>
      <c r="E22" s="337"/>
      <c r="H22" s="35"/>
    </row>
    <row r="23" spans="1:8" ht="45" customHeight="1" thickBot="1" x14ac:dyDescent="0.35">
      <c r="A23" s="31" t="s">
        <v>194</v>
      </c>
      <c r="B23" s="336"/>
      <c r="C23" s="336"/>
      <c r="D23" s="336"/>
      <c r="E23" s="337"/>
      <c r="H23" s="35"/>
    </row>
    <row r="24" spans="1:8" ht="45" customHeight="1" thickBot="1" x14ac:dyDescent="0.35">
      <c r="A24" s="31" t="s">
        <v>195</v>
      </c>
      <c r="B24" s="336"/>
      <c r="C24" s="336"/>
      <c r="D24" s="336"/>
      <c r="E24" s="337"/>
      <c r="H24" s="35"/>
    </row>
    <row r="59" ht="14.55" customHeight="1" x14ac:dyDescent="0.3"/>
  </sheetData>
  <sheetProtection algorithmName="SHA-512" hashValue="IHnbbUbqiyp5aU00/N//cFWtfm4pdctgpIQ/Ffdnx+ObSLXprSmEJwJ7xUsXrkTuL359UvmRMItoxoIQ4HB7jw==" saltValue="rlzNNv1kM75a3ngjVxGnzQ==" spinCount="100000" sheet="1" formatCells="0"/>
  <mergeCells count="22">
    <mergeCell ref="A12:J12"/>
    <mergeCell ref="B7:B8"/>
    <mergeCell ref="C7:C8"/>
    <mergeCell ref="A14:E14"/>
    <mergeCell ref="B15:E15"/>
    <mergeCell ref="B16:E16"/>
    <mergeCell ref="B17:E17"/>
    <mergeCell ref="B18:E18"/>
    <mergeCell ref="B24:E24"/>
    <mergeCell ref="B19:E19"/>
    <mergeCell ref="B20:E20"/>
    <mergeCell ref="B21:E21"/>
    <mergeCell ref="B22:E22"/>
    <mergeCell ref="B23:E23"/>
    <mergeCell ref="A5:S5"/>
    <mergeCell ref="A4:K4"/>
    <mergeCell ref="A2:D2"/>
    <mergeCell ref="E2:K2"/>
    <mergeCell ref="A1:D1"/>
    <mergeCell ref="E1:K1"/>
    <mergeCell ref="A3:D3"/>
    <mergeCell ref="E3:K3"/>
  </mergeCells>
  <phoneticPr fontId="22" type="noConversion"/>
  <pageMargins left="0.23622047244094491" right="0.23622047244094491" top="0.74803149606299213" bottom="0.74803149606299213" header="0.31496062992125984" footer="0.31496062992125984"/>
  <pageSetup scale="46" fitToHeight="0" orientation="landscape" r:id="rId1"/>
  <headerFooter>
    <oddHeader xml:space="preserve">&amp;CCity of Winnipeg
497-2025-Form_B-Prices Water Meter Renewal and AMS Project
</oddHeader>
    <oddFooter>&amp;LCity of Winnipeg, MB&amp;C&amp;A | Page &amp;P of &amp;N&amp;RDiameter Services copyright 2025</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500-000001000000}">
          <x14:formula1>
            <xm:f>Lookups!$A$2:$A$3</xm:f>
          </x14:formula1>
          <xm:sqref>F7:F11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E7A15-19AF-47CF-A6B7-2411146FEDBE}">
  <sheetPr>
    <tabColor theme="5" tint="0.79998168889431442"/>
  </sheetPr>
  <dimension ref="A1:Q9"/>
  <sheetViews>
    <sheetView workbookViewId="0">
      <selection activeCell="K17" sqref="K17"/>
    </sheetView>
  </sheetViews>
  <sheetFormatPr defaultRowHeight="14.4" x14ac:dyDescent="0.3"/>
  <cols>
    <col min="13" max="17" width="9.21875" hidden="1" customWidth="1"/>
  </cols>
  <sheetData>
    <row r="1" spans="1:17" ht="21.6" thickBot="1" x14ac:dyDescent="0.35">
      <c r="A1" s="279" t="s">
        <v>1</v>
      </c>
      <c r="B1" s="280"/>
      <c r="C1" s="280"/>
      <c r="D1" s="281"/>
      <c r="E1" s="270" t="str">
        <f>'B Price Form Summary'!E1</f>
        <v>City of Winnipeg</v>
      </c>
      <c r="F1" s="271"/>
      <c r="G1" s="271"/>
      <c r="H1" s="271"/>
      <c r="I1" s="271"/>
      <c r="J1" s="271"/>
      <c r="K1" s="271"/>
      <c r="M1" s="196">
        <v>6.2585219525497685E-2</v>
      </c>
      <c r="N1" s="196">
        <v>0.22774065994000547</v>
      </c>
      <c r="O1" s="196">
        <v>0.30777883828742836</v>
      </c>
      <c r="P1" s="196">
        <v>0.26905508590128169</v>
      </c>
      <c r="Q1" s="196">
        <v>0.13284019634578673</v>
      </c>
    </row>
    <row r="2" spans="1:17" ht="21.6" thickBot="1" x14ac:dyDescent="0.35">
      <c r="A2" s="279" t="s">
        <v>2</v>
      </c>
      <c r="B2" s="280"/>
      <c r="C2" s="280"/>
      <c r="D2" s="281"/>
      <c r="E2" s="270" t="str">
        <f>'B Price Form Summary'!E2</f>
        <v>Name of Proponent</v>
      </c>
      <c r="F2" s="271"/>
      <c r="G2" s="271"/>
      <c r="H2" s="271"/>
      <c r="I2" s="271"/>
      <c r="J2" s="271"/>
      <c r="K2" s="271"/>
      <c r="M2">
        <f>ROUND($P$2/3,1)</f>
        <v>13203</v>
      </c>
      <c r="N2">
        <f>ROUND($P$2/3,1)</f>
        <v>13203</v>
      </c>
      <c r="O2">
        <f>ROUND($P$2/3,1)</f>
        <v>13203</v>
      </c>
      <c r="P2">
        <v>39609</v>
      </c>
    </row>
    <row r="3" spans="1:17" ht="58.5" customHeight="1" thickBot="1" x14ac:dyDescent="0.35">
      <c r="A3" s="279" t="s">
        <v>3</v>
      </c>
      <c r="B3" s="280"/>
      <c r="C3" s="280"/>
      <c r="D3" s="281"/>
      <c r="E3" s="270" t="str">
        <f>'B Price Form Summary'!E3</f>
        <v>497-2025_RFP - Supply of Advanced Meter Infrastructure and Water Meter Solution</v>
      </c>
      <c r="F3" s="271"/>
      <c r="G3" s="271"/>
      <c r="H3" s="271"/>
      <c r="I3" s="271"/>
      <c r="J3" s="271"/>
      <c r="K3" s="271"/>
    </row>
    <row r="4" spans="1:17" ht="21.6" thickBot="1" x14ac:dyDescent="0.35">
      <c r="A4" s="316" t="s">
        <v>290</v>
      </c>
      <c r="B4" s="317"/>
      <c r="C4" s="317"/>
      <c r="D4" s="317"/>
      <c r="E4" s="317"/>
      <c r="F4" s="317"/>
      <c r="G4" s="317"/>
      <c r="H4" s="317"/>
      <c r="I4" s="317"/>
      <c r="J4" s="317"/>
      <c r="K4" s="317"/>
    </row>
    <row r="5" spans="1:17" ht="15" thickBot="1" x14ac:dyDescent="0.35">
      <c r="A5" s="344"/>
      <c r="B5" s="344"/>
      <c r="C5" s="345"/>
      <c r="D5" s="361" t="s">
        <v>48</v>
      </c>
      <c r="E5" s="362"/>
      <c r="F5" s="54">
        <v>2026</v>
      </c>
      <c r="G5" s="54">
        <v>2027</v>
      </c>
      <c r="H5" s="54">
        <v>2028</v>
      </c>
      <c r="I5" s="54">
        <v>2029</v>
      </c>
      <c r="J5" s="54">
        <v>2030</v>
      </c>
      <c r="K5" s="7" t="s">
        <v>212</v>
      </c>
    </row>
    <row r="6" spans="1:17" ht="15" thickBot="1" x14ac:dyDescent="0.35">
      <c r="A6" s="346"/>
      <c r="B6" s="346"/>
      <c r="C6" s="347"/>
      <c r="D6" s="387" t="s">
        <v>248</v>
      </c>
      <c r="E6" s="388"/>
      <c r="F6" s="158">
        <f>ROUND(M1*'B2 AMI Network &amp; Radio'!$H$7,0)</f>
        <v>13998</v>
      </c>
      <c r="G6" s="158">
        <f>ROUND(N1*'B2 AMI Network &amp; Radio'!$H$7,0)</f>
        <v>50936</v>
      </c>
      <c r="H6" s="158">
        <f>ROUND(O1*'B2 AMI Network &amp; Radio'!$H$7,0)</f>
        <v>68837</v>
      </c>
      <c r="I6" s="158">
        <f>ROUND(P1*'B2 AMI Network &amp; Radio'!$H$7,0)</f>
        <v>60176</v>
      </c>
      <c r="J6" s="158">
        <f>ROUND(Q1*'B2 AMI Network &amp; Radio'!$H$7,0)</f>
        <v>29711</v>
      </c>
      <c r="K6" s="159">
        <f>SUM(F6:J6)</f>
        <v>223658</v>
      </c>
    </row>
    <row r="7" spans="1:17" ht="15" thickBot="1" x14ac:dyDescent="0.35">
      <c r="A7" s="346"/>
      <c r="B7" s="346"/>
      <c r="C7" s="347"/>
      <c r="D7" s="387" t="s">
        <v>249</v>
      </c>
      <c r="E7" s="388"/>
      <c r="F7" s="158">
        <f>ROUND(M1*'B2 AMI Network &amp; Radio'!$H$8,0)</f>
        <v>0</v>
      </c>
      <c r="G7" s="158">
        <f>ROUND(N1*'B2 AMI Network &amp; Radio'!$H$8,0)</f>
        <v>0</v>
      </c>
      <c r="H7" s="158">
        <f>ROUND(O1*'B2 AMI Network &amp; Radio'!$H$8,0)</f>
        <v>0</v>
      </c>
      <c r="I7" s="158">
        <f>ROUND(P1*'B2 AMI Network &amp; Radio'!$H$8,0)</f>
        <v>0</v>
      </c>
      <c r="J7" s="158">
        <f>ROUND(Q1*'B2 AMI Network &amp; Radio'!$H$8,0)</f>
        <v>0</v>
      </c>
      <c r="K7" s="159">
        <f t="shared" ref="K7" si="0">SUM(F7:J7)</f>
        <v>0</v>
      </c>
    </row>
    <row r="8" spans="1:17" ht="15" thickBot="1" x14ac:dyDescent="0.35">
      <c r="A8" s="346"/>
      <c r="B8" s="346"/>
      <c r="C8" s="347"/>
      <c r="D8" s="343" t="s">
        <v>238</v>
      </c>
      <c r="E8" s="343"/>
      <c r="F8" s="162">
        <f t="shared" ref="F8:K8" si="1">+SUM(F6:F7)</f>
        <v>13998</v>
      </c>
      <c r="G8" s="162">
        <f t="shared" si="1"/>
        <v>50936</v>
      </c>
      <c r="H8" s="162">
        <f t="shared" si="1"/>
        <v>68837</v>
      </c>
      <c r="I8" s="162">
        <f t="shared" si="1"/>
        <v>60176</v>
      </c>
      <c r="J8" s="162">
        <f t="shared" si="1"/>
        <v>29711</v>
      </c>
      <c r="K8" s="162">
        <f t="shared" si="1"/>
        <v>223658</v>
      </c>
    </row>
    <row r="9" spans="1:17" ht="15" hidden="1" thickBot="1" x14ac:dyDescent="0.35">
      <c r="A9" s="346"/>
      <c r="B9" s="346"/>
      <c r="C9" s="347"/>
      <c r="D9" s="343" t="s">
        <v>289</v>
      </c>
      <c r="E9" s="343"/>
      <c r="F9" s="186">
        <v>1.2544314153258795E-2</v>
      </c>
      <c r="G9" s="186">
        <v>0.20016362148895556</v>
      </c>
      <c r="H9" s="186">
        <v>0.31047177529315517</v>
      </c>
      <c r="I9" s="186">
        <v>0.29970002727024814</v>
      </c>
      <c r="J9" s="186">
        <v>0.17710000000000001</v>
      </c>
      <c r="K9" s="187">
        <f>SUM(F9:J9)</f>
        <v>0.9999797382056177</v>
      </c>
    </row>
  </sheetData>
  <sheetProtection algorithmName="SHA-512" hashValue="11SDr6h7pecezQdR72qWGnJXzFZdT51an3cEKfuPear1mOw0sp/soJhHIRCsWUGT6lClYoUzBvHlUKGeQv68HQ==" saltValue="/HQOVZeNSUzPxcvX6UtPlA==" spinCount="100000" sheet="1" objects="1" scenarios="1"/>
  <mergeCells count="13">
    <mergeCell ref="A1:D1"/>
    <mergeCell ref="E1:K1"/>
    <mergeCell ref="A2:D2"/>
    <mergeCell ref="E2:K2"/>
    <mergeCell ref="A3:D3"/>
    <mergeCell ref="E3:K3"/>
    <mergeCell ref="A4:K4"/>
    <mergeCell ref="A5:C9"/>
    <mergeCell ref="D5:E5"/>
    <mergeCell ref="D6:E6"/>
    <mergeCell ref="D7:E7"/>
    <mergeCell ref="D8:E8"/>
    <mergeCell ref="D9:E9"/>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theme="5" tint="0.79998168889431442"/>
  </sheetPr>
  <dimension ref="A1:X170"/>
  <sheetViews>
    <sheetView zoomScale="90" zoomScaleNormal="90" workbookViewId="0">
      <selection activeCell="M14" sqref="M14"/>
    </sheetView>
  </sheetViews>
  <sheetFormatPr defaultColWidth="9.21875" defaultRowHeight="14.4" x14ac:dyDescent="0.3"/>
  <cols>
    <col min="1" max="1" width="15.77734375" style="1" bestFit="1" customWidth="1"/>
    <col min="2" max="2" width="17" style="1" customWidth="1"/>
    <col min="3" max="3" width="47.21875" style="1" customWidth="1"/>
    <col min="4" max="4" width="41.21875" style="1" bestFit="1" customWidth="1"/>
    <col min="5" max="5" width="26.21875" style="1" customWidth="1"/>
    <col min="6" max="24" width="24" style="1" customWidth="1"/>
    <col min="25" max="16384" width="9.21875" style="1"/>
  </cols>
  <sheetData>
    <row r="1" spans="1:15" ht="21.75" customHeight="1" thickBot="1" x14ac:dyDescent="0.35">
      <c r="A1" s="279" t="s">
        <v>1</v>
      </c>
      <c r="B1" s="280"/>
      <c r="C1" s="280"/>
      <c r="D1" s="281"/>
      <c r="E1" s="270" t="str">
        <f>+'B Price Form Summary'!E1</f>
        <v>City of Winnipeg</v>
      </c>
      <c r="F1" s="271"/>
      <c r="G1" s="271"/>
      <c r="H1" s="271"/>
      <c r="I1" s="271"/>
      <c r="J1" s="271"/>
      <c r="K1" s="272"/>
      <c r="L1" s="105"/>
    </row>
    <row r="2" spans="1:15" ht="21.6" thickBot="1" x14ac:dyDescent="0.35">
      <c r="A2" s="279" t="s">
        <v>2</v>
      </c>
      <c r="B2" s="280"/>
      <c r="C2" s="280"/>
      <c r="D2" s="281"/>
      <c r="E2" s="270" t="str">
        <f>'B Price Form Summary'!E2</f>
        <v>Name of Proponent</v>
      </c>
      <c r="F2" s="271"/>
      <c r="G2" s="271"/>
      <c r="H2" s="271"/>
      <c r="I2" s="271"/>
      <c r="J2" s="271"/>
      <c r="K2" s="272"/>
    </row>
    <row r="3" spans="1:15" ht="21.6" thickBot="1" x14ac:dyDescent="0.35">
      <c r="A3" s="279" t="s">
        <v>3</v>
      </c>
      <c r="B3" s="280"/>
      <c r="C3" s="280"/>
      <c r="D3" s="280"/>
      <c r="E3" s="270" t="str">
        <f>+'B Price Form Summary'!E3</f>
        <v>497-2025_RFP - Supply of Advanced Meter Infrastructure and Water Meter Solution</v>
      </c>
      <c r="F3" s="271"/>
      <c r="G3" s="271"/>
      <c r="H3" s="271"/>
      <c r="I3" s="271"/>
      <c r="J3" s="271"/>
      <c r="K3" s="272"/>
    </row>
    <row r="4" spans="1:15" ht="21.6" thickBot="1" x14ac:dyDescent="0.35">
      <c r="A4" s="321" t="s">
        <v>531</v>
      </c>
      <c r="B4" s="322"/>
      <c r="C4" s="322"/>
      <c r="D4" s="322"/>
      <c r="E4" s="322"/>
      <c r="F4" s="322"/>
      <c r="G4" s="322"/>
      <c r="H4" s="322"/>
      <c r="I4" s="322"/>
      <c r="J4" s="322"/>
      <c r="K4" s="323"/>
    </row>
    <row r="5" spans="1:15" ht="15" thickBot="1" x14ac:dyDescent="0.35">
      <c r="A5" s="324" t="s">
        <v>97</v>
      </c>
      <c r="B5" s="325"/>
      <c r="C5" s="325"/>
      <c r="D5" s="325"/>
      <c r="E5" s="325"/>
      <c r="F5" s="325"/>
      <c r="G5" s="325"/>
      <c r="H5" s="325"/>
      <c r="I5" s="325"/>
      <c r="J5" s="325"/>
      <c r="K5" s="326"/>
    </row>
    <row r="6" spans="1:15" ht="16.2" thickBot="1" x14ac:dyDescent="0.35">
      <c r="A6" s="395" t="s">
        <v>98</v>
      </c>
      <c r="B6" s="396"/>
      <c r="C6" s="396"/>
      <c r="D6" s="396"/>
      <c r="E6" s="396"/>
      <c r="F6" s="396"/>
      <c r="G6" s="396"/>
      <c r="H6" s="396"/>
      <c r="I6" s="396"/>
      <c r="J6" s="396"/>
      <c r="K6" s="397"/>
    </row>
    <row r="7" spans="1:15" ht="36.75" customHeight="1" thickBot="1" x14ac:dyDescent="0.35">
      <c r="A7" s="95" t="s">
        <v>46</v>
      </c>
      <c r="B7" s="95" t="s">
        <v>91</v>
      </c>
      <c r="C7" s="96" t="s">
        <v>48</v>
      </c>
      <c r="D7" s="96" t="s">
        <v>49</v>
      </c>
      <c r="E7" s="96" t="s">
        <v>50</v>
      </c>
      <c r="F7" s="96" t="s">
        <v>99</v>
      </c>
      <c r="G7" s="96" t="s">
        <v>92</v>
      </c>
      <c r="H7" s="96" t="s">
        <v>93</v>
      </c>
      <c r="I7" s="96" t="s">
        <v>52</v>
      </c>
      <c r="J7" s="96" t="s">
        <v>100</v>
      </c>
      <c r="K7" s="96" t="s">
        <v>7</v>
      </c>
      <c r="O7" s="45"/>
    </row>
    <row r="8" spans="1:15" ht="33.75" customHeight="1" thickBot="1" x14ac:dyDescent="0.35">
      <c r="A8" s="84" t="s">
        <v>196</v>
      </c>
      <c r="B8" s="86" t="s">
        <v>101</v>
      </c>
      <c r="C8" s="353" t="s">
        <v>102</v>
      </c>
      <c r="D8" s="9" t="s">
        <v>63</v>
      </c>
      <c r="E8" s="27" t="s">
        <v>55</v>
      </c>
      <c r="F8" s="111">
        <f>+SUM('B2 AMI Network &amp; Radio'!G7:G7)</f>
        <v>1</v>
      </c>
      <c r="G8" s="4">
        <v>1</v>
      </c>
      <c r="H8" s="24">
        <f>+'B2 AMI Network &amp; Radio'!H7</f>
        <v>223656</v>
      </c>
      <c r="I8" s="101">
        <f>+H8</f>
        <v>223656</v>
      </c>
      <c r="J8" s="34">
        <v>0</v>
      </c>
      <c r="K8" s="13">
        <f>J8*I8</f>
        <v>0</v>
      </c>
    </row>
    <row r="9" spans="1:15" ht="33.75" customHeight="1" thickBot="1" x14ac:dyDescent="0.35">
      <c r="A9" s="84" t="s">
        <v>197</v>
      </c>
      <c r="B9" s="86" t="s">
        <v>101</v>
      </c>
      <c r="C9" s="360"/>
      <c r="D9" s="9" t="s">
        <v>64</v>
      </c>
      <c r="E9" s="27" t="s">
        <v>55</v>
      </c>
      <c r="F9" s="110">
        <f>+SUM('B2 AMI Network &amp; Radio'!G8:G8)</f>
        <v>0</v>
      </c>
      <c r="G9" s="4">
        <v>1</v>
      </c>
      <c r="H9" s="24">
        <f>+'B2 AMI Network &amp; Radio'!H8</f>
        <v>0</v>
      </c>
      <c r="I9" s="101">
        <f t="shared" ref="I9" si="0">+H9</f>
        <v>0</v>
      </c>
      <c r="J9" s="34">
        <v>0</v>
      </c>
      <c r="K9" s="13">
        <f>J9*I9</f>
        <v>0</v>
      </c>
    </row>
    <row r="10" spans="1:15" ht="26.55" customHeight="1" thickBot="1" x14ac:dyDescent="0.35">
      <c r="A10" s="398" t="s">
        <v>103</v>
      </c>
      <c r="B10" s="398"/>
      <c r="C10" s="398"/>
      <c r="D10" s="398"/>
      <c r="E10" s="398"/>
      <c r="F10" s="398"/>
      <c r="G10" s="398"/>
      <c r="H10" s="398"/>
      <c r="I10" s="398"/>
      <c r="J10" s="398"/>
      <c r="K10" s="13">
        <f>SUM(K8:K9)/SUM(I8:I9)</f>
        <v>0</v>
      </c>
    </row>
    <row r="11" spans="1:15" ht="26.55" customHeight="1" thickBot="1" x14ac:dyDescent="0.35">
      <c r="A11" s="84" t="s">
        <v>198</v>
      </c>
      <c r="B11" s="86" t="s">
        <v>101</v>
      </c>
      <c r="C11" s="408" t="s">
        <v>468</v>
      </c>
      <c r="D11" s="409"/>
      <c r="E11" s="409"/>
      <c r="F11" s="409"/>
      <c r="G11" s="409"/>
      <c r="H11" s="409"/>
      <c r="I11" s="410"/>
      <c r="J11" s="48"/>
      <c r="K11" s="84"/>
    </row>
    <row r="12" spans="1:15" ht="26.55" customHeight="1" thickBot="1" x14ac:dyDescent="0.35">
      <c r="A12" s="84" t="s">
        <v>199</v>
      </c>
      <c r="B12" s="86"/>
      <c r="C12" s="408" t="s">
        <v>509</v>
      </c>
      <c r="D12" s="409"/>
      <c r="E12" s="409"/>
      <c r="F12" s="409"/>
      <c r="G12" s="409"/>
      <c r="H12" s="409"/>
      <c r="I12" s="410"/>
      <c r="J12" s="48"/>
      <c r="K12" s="84"/>
    </row>
    <row r="13" spans="1:15" ht="26.55" customHeight="1" thickBot="1" x14ac:dyDescent="0.35">
      <c r="A13" s="84" t="s">
        <v>200</v>
      </c>
      <c r="B13" s="86"/>
      <c r="C13" s="408" t="s">
        <v>510</v>
      </c>
      <c r="D13" s="409"/>
      <c r="E13" s="409"/>
      <c r="F13" s="409"/>
      <c r="G13" s="409"/>
      <c r="H13" s="409"/>
      <c r="I13" s="410"/>
      <c r="J13" s="48"/>
      <c r="K13" s="84"/>
    </row>
    <row r="14" spans="1:15" ht="20.25" customHeight="1" thickBot="1" x14ac:dyDescent="0.35">
      <c r="A14" s="53"/>
      <c r="B14" s="52"/>
      <c r="C14" s="52"/>
      <c r="D14" s="53"/>
      <c r="E14" s="53"/>
      <c r="F14" s="52"/>
      <c r="G14" s="52"/>
      <c r="H14" s="52"/>
      <c r="I14" s="52"/>
      <c r="J14" s="55"/>
      <c r="K14" s="49"/>
    </row>
    <row r="15" spans="1:15" ht="20.25" customHeight="1" thickBot="1" x14ac:dyDescent="0.35">
      <c r="A15" s="395" t="s">
        <v>104</v>
      </c>
      <c r="B15" s="396"/>
      <c r="C15" s="396"/>
      <c r="D15" s="396"/>
      <c r="E15" s="396"/>
      <c r="F15" s="396"/>
      <c r="G15" s="396"/>
      <c r="H15" s="396"/>
      <c r="I15" s="396"/>
      <c r="J15" s="396"/>
      <c r="K15" s="397"/>
    </row>
    <row r="16" spans="1:15" ht="120.75" customHeight="1" thickBot="1" x14ac:dyDescent="0.35">
      <c r="A16" s="95" t="s">
        <v>46</v>
      </c>
      <c r="B16" s="95" t="s">
        <v>91</v>
      </c>
      <c r="C16" s="96" t="s">
        <v>48</v>
      </c>
      <c r="D16" s="96" t="s">
        <v>49</v>
      </c>
      <c r="E16" s="96"/>
      <c r="F16" s="96" t="s">
        <v>105</v>
      </c>
      <c r="G16" s="96" t="s">
        <v>106</v>
      </c>
      <c r="H16" s="96" t="s">
        <v>93</v>
      </c>
      <c r="I16" s="96" t="s">
        <v>52</v>
      </c>
      <c r="J16" s="96" t="s">
        <v>107</v>
      </c>
      <c r="K16" s="96" t="s">
        <v>108</v>
      </c>
    </row>
    <row r="17" spans="1:11" ht="24" customHeight="1" thickBot="1" x14ac:dyDescent="0.35">
      <c r="A17" s="84" t="s">
        <v>201</v>
      </c>
      <c r="B17" s="30" t="s">
        <v>101</v>
      </c>
      <c r="C17" s="399" t="s">
        <v>104</v>
      </c>
      <c r="D17" s="23" t="s">
        <v>109</v>
      </c>
      <c r="E17" s="51"/>
      <c r="F17" s="205"/>
      <c r="G17" s="11">
        <v>1</v>
      </c>
      <c r="H17" s="97">
        <f>'B6A Radio Qty Per Year'!F8</f>
        <v>13998</v>
      </c>
      <c r="I17" s="31">
        <f>ROUND(H17*F17,0)</f>
        <v>0</v>
      </c>
      <c r="J17" s="48"/>
      <c r="K17" s="50">
        <f>(1-J17)*I17*$K$10</f>
        <v>0</v>
      </c>
    </row>
    <row r="18" spans="1:11" ht="24" customHeight="1" thickBot="1" x14ac:dyDescent="0.35">
      <c r="A18" s="84" t="s">
        <v>202</v>
      </c>
      <c r="B18" s="30" t="s">
        <v>101</v>
      </c>
      <c r="C18" s="400"/>
      <c r="D18" s="23" t="s">
        <v>110</v>
      </c>
      <c r="E18" s="51"/>
      <c r="F18" s="205"/>
      <c r="G18" s="11">
        <v>2</v>
      </c>
      <c r="H18" s="97">
        <f>H17+'B6A Radio Qty Per Year'!G8</f>
        <v>64933</v>
      </c>
      <c r="I18" s="31">
        <f t="shared" ref="I18:I36" si="1">ROUND(H18*F18,0)</f>
        <v>0</v>
      </c>
      <c r="J18" s="48"/>
      <c r="K18" s="50">
        <f t="shared" ref="K18:K36" si="2">(1-J18)*I18*$K$10</f>
        <v>0</v>
      </c>
    </row>
    <row r="19" spans="1:11" ht="24" customHeight="1" thickBot="1" x14ac:dyDescent="0.35">
      <c r="A19" s="84" t="s">
        <v>203</v>
      </c>
      <c r="B19" s="30" t="s">
        <v>101</v>
      </c>
      <c r="C19" s="400"/>
      <c r="D19" s="23" t="s">
        <v>111</v>
      </c>
      <c r="E19" s="51"/>
      <c r="F19" s="205"/>
      <c r="G19" s="11">
        <v>3</v>
      </c>
      <c r="H19" s="97">
        <f>H18+'B6A Radio Qty Per Year'!H8</f>
        <v>133769</v>
      </c>
      <c r="I19" s="31">
        <f t="shared" si="1"/>
        <v>0</v>
      </c>
      <c r="J19" s="48"/>
      <c r="K19" s="50">
        <f t="shared" si="2"/>
        <v>0</v>
      </c>
    </row>
    <row r="20" spans="1:11" ht="24" customHeight="1" thickBot="1" x14ac:dyDescent="0.35">
      <c r="A20" s="84" t="s">
        <v>204</v>
      </c>
      <c r="B20" s="30" t="s">
        <v>101</v>
      </c>
      <c r="C20" s="400"/>
      <c r="D20" s="23" t="s">
        <v>112</v>
      </c>
      <c r="E20" s="51"/>
      <c r="F20" s="205"/>
      <c r="G20" s="11">
        <v>4</v>
      </c>
      <c r="H20" s="97">
        <f>H19+'B6A Radio Qty Per Year'!I8</f>
        <v>193945</v>
      </c>
      <c r="I20" s="31">
        <f t="shared" si="1"/>
        <v>0</v>
      </c>
      <c r="J20" s="48"/>
      <c r="K20" s="50">
        <f t="shared" si="2"/>
        <v>0</v>
      </c>
    </row>
    <row r="21" spans="1:11" ht="24" customHeight="1" thickBot="1" x14ac:dyDescent="0.35">
      <c r="A21" s="84" t="s">
        <v>205</v>
      </c>
      <c r="B21" s="30" t="s">
        <v>101</v>
      </c>
      <c r="C21" s="400"/>
      <c r="D21" s="23" t="s">
        <v>113</v>
      </c>
      <c r="E21" s="51"/>
      <c r="F21" s="205"/>
      <c r="G21" s="11">
        <v>5</v>
      </c>
      <c r="H21" s="97">
        <f>SUM('B2 AMI Network &amp; Radio'!$H$7:$H$8)</f>
        <v>223656</v>
      </c>
      <c r="I21" s="31">
        <f t="shared" si="1"/>
        <v>0</v>
      </c>
      <c r="J21" s="48"/>
      <c r="K21" s="50">
        <f t="shared" si="2"/>
        <v>0</v>
      </c>
    </row>
    <row r="22" spans="1:11" ht="24" customHeight="1" thickBot="1" x14ac:dyDescent="0.35">
      <c r="A22" s="84" t="s">
        <v>206</v>
      </c>
      <c r="B22" s="30" t="s">
        <v>101</v>
      </c>
      <c r="C22" s="400"/>
      <c r="D22" s="23" t="s">
        <v>114</v>
      </c>
      <c r="E22" s="51"/>
      <c r="F22" s="205"/>
      <c r="G22" s="11">
        <v>6</v>
      </c>
      <c r="H22" s="97">
        <f>SUM('B2 AMI Network &amp; Radio'!$H$7:$H$8)</f>
        <v>223656</v>
      </c>
      <c r="I22" s="31">
        <f t="shared" si="1"/>
        <v>0</v>
      </c>
      <c r="J22" s="48"/>
      <c r="K22" s="50">
        <f t="shared" si="2"/>
        <v>0</v>
      </c>
    </row>
    <row r="23" spans="1:11" ht="24" customHeight="1" thickBot="1" x14ac:dyDescent="0.35">
      <c r="A23" s="84" t="s">
        <v>207</v>
      </c>
      <c r="B23" s="30" t="s">
        <v>101</v>
      </c>
      <c r="C23" s="400"/>
      <c r="D23" s="23" t="s">
        <v>115</v>
      </c>
      <c r="E23" s="51"/>
      <c r="F23" s="205"/>
      <c r="G23" s="11">
        <v>7</v>
      </c>
      <c r="H23" s="97">
        <f>SUM('B2 AMI Network &amp; Radio'!$H$7:$H$8)</f>
        <v>223656</v>
      </c>
      <c r="I23" s="31">
        <f t="shared" si="1"/>
        <v>0</v>
      </c>
      <c r="J23" s="48"/>
      <c r="K23" s="50">
        <f t="shared" si="2"/>
        <v>0</v>
      </c>
    </row>
    <row r="24" spans="1:11" ht="24" customHeight="1" thickBot="1" x14ac:dyDescent="0.35">
      <c r="A24" s="84" t="s">
        <v>208</v>
      </c>
      <c r="B24" s="30" t="s">
        <v>101</v>
      </c>
      <c r="C24" s="400"/>
      <c r="D24" s="23" t="s">
        <v>116</v>
      </c>
      <c r="E24" s="51"/>
      <c r="F24" s="205"/>
      <c r="G24" s="11">
        <v>8</v>
      </c>
      <c r="H24" s="97">
        <f>SUM('B2 AMI Network &amp; Radio'!$H$7:$H$8)</f>
        <v>223656</v>
      </c>
      <c r="I24" s="31">
        <f t="shared" si="1"/>
        <v>0</v>
      </c>
      <c r="J24" s="48"/>
      <c r="K24" s="50">
        <f t="shared" si="2"/>
        <v>0</v>
      </c>
    </row>
    <row r="25" spans="1:11" ht="24" customHeight="1" thickBot="1" x14ac:dyDescent="0.35">
      <c r="A25" s="84" t="s">
        <v>209</v>
      </c>
      <c r="B25" s="30" t="s">
        <v>101</v>
      </c>
      <c r="C25" s="400"/>
      <c r="D25" s="23" t="s">
        <v>117</v>
      </c>
      <c r="E25" s="51"/>
      <c r="F25" s="205"/>
      <c r="G25" s="11">
        <v>9</v>
      </c>
      <c r="H25" s="97">
        <f>SUM('B2 AMI Network &amp; Radio'!$H$7:$H$8)</f>
        <v>223656</v>
      </c>
      <c r="I25" s="31">
        <f t="shared" si="1"/>
        <v>0</v>
      </c>
      <c r="J25" s="48"/>
      <c r="K25" s="50">
        <f t="shared" si="2"/>
        <v>0</v>
      </c>
    </row>
    <row r="26" spans="1:11" ht="24" customHeight="1" thickBot="1" x14ac:dyDescent="0.35">
      <c r="A26" s="84" t="s">
        <v>210</v>
      </c>
      <c r="B26" s="30" t="s">
        <v>101</v>
      </c>
      <c r="C26" s="400"/>
      <c r="D26" s="23" t="s">
        <v>118</v>
      </c>
      <c r="E26" s="51"/>
      <c r="F26" s="205"/>
      <c r="G26" s="11">
        <v>10</v>
      </c>
      <c r="H26" s="97">
        <f>SUM('B2 AMI Network &amp; Radio'!$H$7:$H$8)</f>
        <v>223656</v>
      </c>
      <c r="I26" s="31">
        <f t="shared" si="1"/>
        <v>0</v>
      </c>
      <c r="J26" s="48"/>
      <c r="K26" s="50">
        <f t="shared" si="2"/>
        <v>0</v>
      </c>
    </row>
    <row r="27" spans="1:11" ht="24" customHeight="1" thickBot="1" x14ac:dyDescent="0.35">
      <c r="A27" s="84" t="s">
        <v>356</v>
      </c>
      <c r="B27" s="30" t="s">
        <v>101</v>
      </c>
      <c r="C27" s="400"/>
      <c r="D27" s="23" t="s">
        <v>119</v>
      </c>
      <c r="E27" s="51"/>
      <c r="F27" s="205"/>
      <c r="G27" s="11">
        <v>11</v>
      </c>
      <c r="H27" s="97">
        <f>SUM('B2 AMI Network &amp; Radio'!$H$7:$H$8)</f>
        <v>223656</v>
      </c>
      <c r="I27" s="31">
        <f t="shared" si="1"/>
        <v>0</v>
      </c>
      <c r="J27" s="48"/>
      <c r="K27" s="50">
        <f>(1-J27)*I27*$K$10</f>
        <v>0</v>
      </c>
    </row>
    <row r="28" spans="1:11" ht="24" customHeight="1" thickBot="1" x14ac:dyDescent="0.35">
      <c r="A28" s="84" t="s">
        <v>357</v>
      </c>
      <c r="B28" s="30" t="s">
        <v>101</v>
      </c>
      <c r="C28" s="400"/>
      <c r="D28" s="23" t="s">
        <v>120</v>
      </c>
      <c r="E28" s="51"/>
      <c r="F28" s="205"/>
      <c r="G28" s="11">
        <v>12</v>
      </c>
      <c r="H28" s="97">
        <f>SUM('B2 AMI Network &amp; Radio'!$H$7:$H$8)</f>
        <v>223656</v>
      </c>
      <c r="I28" s="31">
        <f t="shared" si="1"/>
        <v>0</v>
      </c>
      <c r="J28" s="48"/>
      <c r="K28" s="50">
        <f t="shared" si="2"/>
        <v>0</v>
      </c>
    </row>
    <row r="29" spans="1:11" ht="24" customHeight="1" thickBot="1" x14ac:dyDescent="0.35">
      <c r="A29" s="84" t="s">
        <v>358</v>
      </c>
      <c r="B29" s="30" t="s">
        <v>101</v>
      </c>
      <c r="C29" s="400"/>
      <c r="D29" s="23" t="s">
        <v>121</v>
      </c>
      <c r="E29" s="51"/>
      <c r="F29" s="205"/>
      <c r="G29" s="11">
        <v>13</v>
      </c>
      <c r="H29" s="97">
        <f>SUM('B2 AMI Network &amp; Radio'!$H$7:$H$8)</f>
        <v>223656</v>
      </c>
      <c r="I29" s="31">
        <f t="shared" si="1"/>
        <v>0</v>
      </c>
      <c r="J29" s="48"/>
      <c r="K29" s="50">
        <f t="shared" si="2"/>
        <v>0</v>
      </c>
    </row>
    <row r="30" spans="1:11" ht="24" customHeight="1" thickBot="1" x14ac:dyDescent="0.35">
      <c r="A30" s="84" t="s">
        <v>359</v>
      </c>
      <c r="B30" s="30" t="s">
        <v>101</v>
      </c>
      <c r="C30" s="400"/>
      <c r="D30" s="23" t="s">
        <v>122</v>
      </c>
      <c r="E30" s="51"/>
      <c r="F30" s="205"/>
      <c r="G30" s="11">
        <v>14</v>
      </c>
      <c r="H30" s="97">
        <f>SUM('B2 AMI Network &amp; Radio'!$H$7:$H$8)</f>
        <v>223656</v>
      </c>
      <c r="I30" s="31">
        <f t="shared" si="1"/>
        <v>0</v>
      </c>
      <c r="J30" s="48"/>
      <c r="K30" s="50">
        <f t="shared" si="2"/>
        <v>0</v>
      </c>
    </row>
    <row r="31" spans="1:11" ht="24" customHeight="1" thickBot="1" x14ac:dyDescent="0.35">
      <c r="A31" s="84" t="s">
        <v>360</v>
      </c>
      <c r="B31" s="30" t="s">
        <v>101</v>
      </c>
      <c r="C31" s="400"/>
      <c r="D31" s="23" t="s">
        <v>123</v>
      </c>
      <c r="E31" s="51"/>
      <c r="F31" s="205"/>
      <c r="G31" s="11">
        <v>15</v>
      </c>
      <c r="H31" s="97">
        <f>SUM('B2 AMI Network &amp; Radio'!$H$7:$H$8)</f>
        <v>223656</v>
      </c>
      <c r="I31" s="31">
        <f t="shared" si="1"/>
        <v>0</v>
      </c>
      <c r="J31" s="48"/>
      <c r="K31" s="50">
        <f t="shared" si="2"/>
        <v>0</v>
      </c>
    </row>
    <row r="32" spans="1:11" ht="24" customHeight="1" thickBot="1" x14ac:dyDescent="0.35">
      <c r="A32" s="84" t="s">
        <v>361</v>
      </c>
      <c r="B32" s="30" t="s">
        <v>101</v>
      </c>
      <c r="C32" s="400"/>
      <c r="D32" s="23" t="s">
        <v>124</v>
      </c>
      <c r="E32" s="51"/>
      <c r="F32" s="205"/>
      <c r="G32" s="11">
        <v>16</v>
      </c>
      <c r="H32" s="97">
        <f>SUM('B2 AMI Network &amp; Radio'!$H$7:$H$8)</f>
        <v>223656</v>
      </c>
      <c r="I32" s="31">
        <f t="shared" si="1"/>
        <v>0</v>
      </c>
      <c r="J32" s="48"/>
      <c r="K32" s="50">
        <f t="shared" si="2"/>
        <v>0</v>
      </c>
    </row>
    <row r="33" spans="1:15" ht="24" customHeight="1" thickBot="1" x14ac:dyDescent="0.35">
      <c r="A33" s="84" t="s">
        <v>362</v>
      </c>
      <c r="B33" s="30" t="s">
        <v>101</v>
      </c>
      <c r="C33" s="400"/>
      <c r="D33" s="23" t="s">
        <v>125</v>
      </c>
      <c r="E33" s="51"/>
      <c r="F33" s="205"/>
      <c r="G33" s="11">
        <v>17</v>
      </c>
      <c r="H33" s="97">
        <f>SUM('B2 AMI Network &amp; Radio'!$H$7:$H$8)</f>
        <v>223656</v>
      </c>
      <c r="I33" s="31">
        <f t="shared" si="1"/>
        <v>0</v>
      </c>
      <c r="J33" s="48"/>
      <c r="K33" s="50">
        <f t="shared" si="2"/>
        <v>0</v>
      </c>
    </row>
    <row r="34" spans="1:15" ht="24" customHeight="1" thickBot="1" x14ac:dyDescent="0.35">
      <c r="A34" s="84" t="s">
        <v>363</v>
      </c>
      <c r="B34" s="30" t="s">
        <v>101</v>
      </c>
      <c r="C34" s="400"/>
      <c r="D34" s="23" t="s">
        <v>126</v>
      </c>
      <c r="E34" s="51"/>
      <c r="F34" s="205"/>
      <c r="G34" s="11">
        <v>18</v>
      </c>
      <c r="H34" s="97">
        <f>SUM('B2 AMI Network &amp; Radio'!$H$7:$H$8)</f>
        <v>223656</v>
      </c>
      <c r="I34" s="31">
        <f t="shared" si="1"/>
        <v>0</v>
      </c>
      <c r="J34" s="48"/>
      <c r="K34" s="50">
        <f t="shared" si="2"/>
        <v>0</v>
      </c>
    </row>
    <row r="35" spans="1:15" ht="24" customHeight="1" thickBot="1" x14ac:dyDescent="0.35">
      <c r="A35" s="84" t="s">
        <v>364</v>
      </c>
      <c r="B35" s="30" t="s">
        <v>101</v>
      </c>
      <c r="C35" s="400"/>
      <c r="D35" s="23" t="s">
        <v>127</v>
      </c>
      <c r="E35" s="51"/>
      <c r="F35" s="205"/>
      <c r="G35" s="11">
        <v>19</v>
      </c>
      <c r="H35" s="97">
        <f>SUM('B2 AMI Network &amp; Radio'!$H$7:$H$8)</f>
        <v>223656</v>
      </c>
      <c r="I35" s="31">
        <f t="shared" si="1"/>
        <v>0</v>
      </c>
      <c r="J35" s="48"/>
      <c r="K35" s="50">
        <f t="shared" si="2"/>
        <v>0</v>
      </c>
    </row>
    <row r="36" spans="1:15" ht="24" customHeight="1" thickBot="1" x14ac:dyDescent="0.35">
      <c r="A36" s="84" t="s">
        <v>365</v>
      </c>
      <c r="B36" s="30" t="s">
        <v>101</v>
      </c>
      <c r="C36" s="401"/>
      <c r="D36" s="23" t="s">
        <v>128</v>
      </c>
      <c r="E36" s="51"/>
      <c r="F36" s="205"/>
      <c r="G36" s="11">
        <v>20</v>
      </c>
      <c r="H36" s="97">
        <f>SUM('B2 AMI Network &amp; Radio'!$H$7:$H$8)</f>
        <v>223656</v>
      </c>
      <c r="I36" s="31">
        <f t="shared" si="1"/>
        <v>0</v>
      </c>
      <c r="J36" s="48"/>
      <c r="K36" s="50">
        <f t="shared" si="2"/>
        <v>0</v>
      </c>
    </row>
    <row r="37" spans="1:15" ht="33" customHeight="1" thickBot="1" x14ac:dyDescent="0.35">
      <c r="A37" s="142"/>
      <c r="B37" s="68"/>
      <c r="C37" s="143"/>
      <c r="D37" s="78"/>
      <c r="E37" s="79"/>
      <c r="F37" s="144"/>
      <c r="G37" s="80"/>
      <c r="H37" s="145"/>
      <c r="I37" s="122"/>
      <c r="J37" s="156"/>
      <c r="K37" s="81"/>
    </row>
    <row r="38" spans="1:15" ht="33" customHeight="1" thickBot="1" x14ac:dyDescent="0.35">
      <c r="A38" s="395" t="s">
        <v>335</v>
      </c>
      <c r="B38" s="396"/>
      <c r="C38" s="396"/>
      <c r="D38" s="396"/>
      <c r="E38" s="396"/>
      <c r="F38" s="396"/>
      <c r="G38" s="396"/>
      <c r="H38" s="396"/>
      <c r="I38" s="396"/>
      <c r="J38" s="396"/>
      <c r="K38" s="397"/>
    </row>
    <row r="39" spans="1:15" ht="21.75" customHeight="1" thickBot="1" x14ac:dyDescent="0.35">
      <c r="A39" s="95" t="s">
        <v>46</v>
      </c>
      <c r="B39" s="95" t="s">
        <v>91</v>
      </c>
      <c r="C39" s="96" t="s">
        <v>48</v>
      </c>
      <c r="D39" s="96" t="s">
        <v>49</v>
      </c>
      <c r="E39" s="96" t="s">
        <v>50</v>
      </c>
      <c r="F39" s="96"/>
      <c r="G39" s="96" t="s">
        <v>92</v>
      </c>
      <c r="H39" s="96" t="s">
        <v>93</v>
      </c>
      <c r="I39" s="96" t="s">
        <v>52</v>
      </c>
      <c r="J39" s="96" t="s">
        <v>100</v>
      </c>
      <c r="K39" s="96" t="s">
        <v>7</v>
      </c>
      <c r="O39" s="45"/>
    </row>
    <row r="40" spans="1:15" ht="20.25" customHeight="1" thickBot="1" x14ac:dyDescent="0.35">
      <c r="A40" s="84" t="s">
        <v>366</v>
      </c>
      <c r="B40" s="109" t="s">
        <v>101</v>
      </c>
      <c r="C40" s="353" t="s">
        <v>129</v>
      </c>
      <c r="D40" s="9" t="s">
        <v>281</v>
      </c>
      <c r="E40" s="27" t="s">
        <v>55</v>
      </c>
      <c r="F40" s="111"/>
      <c r="G40" s="4">
        <v>1</v>
      </c>
      <c r="H40" s="24">
        <f>'B1A - Mtr Qty by Year'!K6</f>
        <v>211352</v>
      </c>
      <c r="I40" s="146">
        <f>+H40</f>
        <v>211352</v>
      </c>
      <c r="J40" s="147">
        <v>0</v>
      </c>
      <c r="K40" s="13">
        <f>J40*I40</f>
        <v>0</v>
      </c>
    </row>
    <row r="41" spans="1:15" ht="20.25" customHeight="1" thickBot="1" x14ac:dyDescent="0.35">
      <c r="A41" s="84" t="s">
        <v>367</v>
      </c>
      <c r="B41" s="109" t="s">
        <v>101</v>
      </c>
      <c r="C41" s="360"/>
      <c r="D41" s="9" t="s">
        <v>342</v>
      </c>
      <c r="E41" s="27" t="s">
        <v>55</v>
      </c>
      <c r="F41" s="111"/>
      <c r="G41" s="4">
        <v>1</v>
      </c>
      <c r="H41" s="24">
        <f>'B1A - Mtr Qty by Year'!K7</f>
        <v>1000</v>
      </c>
      <c r="I41" s="146">
        <f>+H41</f>
        <v>1000</v>
      </c>
      <c r="J41" s="147">
        <v>0</v>
      </c>
      <c r="K41" s="13">
        <f>J41*I41</f>
        <v>0</v>
      </c>
    </row>
    <row r="42" spans="1:15" ht="20.25" customHeight="1" thickBot="1" x14ac:dyDescent="0.35">
      <c r="A42" s="84" t="s">
        <v>368</v>
      </c>
      <c r="B42" s="109" t="s">
        <v>101</v>
      </c>
      <c r="C42" s="360"/>
      <c r="D42" s="9" t="s">
        <v>213</v>
      </c>
      <c r="E42" s="27" t="s">
        <v>55</v>
      </c>
      <c r="F42" s="111"/>
      <c r="G42" s="4">
        <v>1</v>
      </c>
      <c r="H42" s="24">
        <f>'B1A - Mtr Qty by Year'!K8</f>
        <v>4045</v>
      </c>
      <c r="I42" s="146">
        <f>+H42</f>
        <v>4045</v>
      </c>
      <c r="J42" s="147">
        <v>0</v>
      </c>
      <c r="K42" s="13">
        <f>J42*I42</f>
        <v>0</v>
      </c>
    </row>
    <row r="43" spans="1:15" ht="20.25" customHeight="1" thickBot="1" x14ac:dyDescent="0.35">
      <c r="A43" s="84" t="s">
        <v>369</v>
      </c>
      <c r="B43" s="109" t="s">
        <v>101</v>
      </c>
      <c r="C43" s="360"/>
      <c r="D43" s="9" t="s">
        <v>214</v>
      </c>
      <c r="E43" s="27" t="s">
        <v>55</v>
      </c>
      <c r="F43" s="111"/>
      <c r="G43" s="4">
        <v>1</v>
      </c>
      <c r="H43" s="24">
        <f>'B1A - Mtr Qty by Year'!K9</f>
        <v>3693</v>
      </c>
      <c r="I43" s="146">
        <f>+H43</f>
        <v>3693</v>
      </c>
      <c r="J43" s="147">
        <v>0</v>
      </c>
      <c r="K43" s="13">
        <f>J43*I43</f>
        <v>0</v>
      </c>
    </row>
    <row r="44" spans="1:15" ht="16.2" thickBot="1" x14ac:dyDescent="0.35">
      <c r="A44" s="398" t="s">
        <v>130</v>
      </c>
      <c r="B44" s="398"/>
      <c r="C44" s="398"/>
      <c r="D44" s="398"/>
      <c r="E44" s="398"/>
      <c r="F44" s="398"/>
      <c r="G44" s="398"/>
      <c r="H44" s="398"/>
      <c r="I44" s="398"/>
      <c r="J44" s="398"/>
      <c r="K44" s="13">
        <f>SUM(K40:K43)/SUM(I40:I43)</f>
        <v>0</v>
      </c>
    </row>
    <row r="45" spans="1:15" ht="16.2" thickBot="1" x14ac:dyDescent="0.35">
      <c r="A45" s="53"/>
      <c r="B45" s="52"/>
      <c r="C45" s="52"/>
      <c r="D45" s="53"/>
      <c r="E45" s="53"/>
      <c r="F45" s="52"/>
      <c r="G45" s="52"/>
      <c r="H45" s="52"/>
      <c r="I45" s="52"/>
      <c r="J45" s="55"/>
      <c r="K45" s="49"/>
    </row>
    <row r="46" spans="1:15" ht="24" customHeight="1" thickBot="1" x14ac:dyDescent="0.35">
      <c r="A46" s="395" t="s">
        <v>351</v>
      </c>
      <c r="B46" s="396"/>
      <c r="C46" s="396"/>
      <c r="D46" s="396"/>
      <c r="E46" s="396"/>
      <c r="F46" s="396"/>
      <c r="G46" s="396"/>
      <c r="H46" s="396"/>
      <c r="I46" s="396"/>
      <c r="J46" s="396"/>
      <c r="K46" s="397"/>
    </row>
    <row r="47" spans="1:15" ht="72.75" customHeight="1" thickBot="1" x14ac:dyDescent="0.35">
      <c r="A47" s="95" t="s">
        <v>46</v>
      </c>
      <c r="B47" s="95" t="s">
        <v>91</v>
      </c>
      <c r="C47" s="96" t="s">
        <v>48</v>
      </c>
      <c r="D47" s="96" t="s">
        <v>49</v>
      </c>
      <c r="E47" s="96"/>
      <c r="F47" s="96" t="s">
        <v>105</v>
      </c>
      <c r="G47" s="96" t="s">
        <v>106</v>
      </c>
      <c r="H47" s="96" t="s">
        <v>93</v>
      </c>
      <c r="I47" s="96" t="s">
        <v>52</v>
      </c>
      <c r="J47" s="96" t="s">
        <v>107</v>
      </c>
      <c r="K47" s="96" t="s">
        <v>108</v>
      </c>
    </row>
    <row r="48" spans="1:15" ht="24" customHeight="1" thickBot="1" x14ac:dyDescent="0.35">
      <c r="A48" s="84" t="s">
        <v>370</v>
      </c>
      <c r="B48" s="30" t="s">
        <v>101</v>
      </c>
      <c r="C48" s="399" t="s">
        <v>131</v>
      </c>
      <c r="D48" s="23" t="s">
        <v>109</v>
      </c>
      <c r="E48" s="148"/>
      <c r="F48" s="205"/>
      <c r="G48" s="149">
        <v>1</v>
      </c>
      <c r="H48" s="97">
        <f>+SUM('B6A Radio Qty Per Year'!F16:F19)</f>
        <v>13776</v>
      </c>
      <c r="I48" s="31">
        <f t="shared" ref="I48:I67" si="3">ROUND(H48*F48,0)</f>
        <v>0</v>
      </c>
      <c r="J48" s="48"/>
      <c r="K48" s="150">
        <f t="shared" ref="K48:K67" si="4">(1-J48)*I48*$K$44</f>
        <v>0</v>
      </c>
    </row>
    <row r="49" spans="1:11" ht="24" customHeight="1" thickBot="1" x14ac:dyDescent="0.35">
      <c r="A49" s="84" t="s">
        <v>371</v>
      </c>
      <c r="B49" s="30" t="s">
        <v>101</v>
      </c>
      <c r="C49" s="400"/>
      <c r="D49" s="23" t="s">
        <v>110</v>
      </c>
      <c r="E49" s="148"/>
      <c r="F49" s="205"/>
      <c r="G49" s="149">
        <v>2</v>
      </c>
      <c r="H49" s="97">
        <f>+SUM('B6A Radio Qty Per Year'!G16:G19)+H48</f>
        <v>63900</v>
      </c>
      <c r="I49" s="31">
        <f t="shared" si="3"/>
        <v>0</v>
      </c>
      <c r="J49" s="48"/>
      <c r="K49" s="150">
        <f t="shared" si="4"/>
        <v>0</v>
      </c>
    </row>
    <row r="50" spans="1:11" ht="24" customHeight="1" thickBot="1" x14ac:dyDescent="0.35">
      <c r="A50" s="84" t="s">
        <v>372</v>
      </c>
      <c r="B50" s="30" t="s">
        <v>101</v>
      </c>
      <c r="C50" s="400"/>
      <c r="D50" s="23" t="s">
        <v>111</v>
      </c>
      <c r="E50" s="148"/>
      <c r="F50" s="205"/>
      <c r="G50" s="149">
        <v>3</v>
      </c>
      <c r="H50" s="97">
        <f>+SUM('B6A Radio Qty Per Year'!H16:H19)+H49</f>
        <v>131637</v>
      </c>
      <c r="I50" s="31">
        <f t="shared" si="3"/>
        <v>0</v>
      </c>
      <c r="J50" s="48"/>
      <c r="K50" s="150">
        <f t="shared" si="4"/>
        <v>0</v>
      </c>
    </row>
    <row r="51" spans="1:11" ht="24" customHeight="1" thickBot="1" x14ac:dyDescent="0.35">
      <c r="A51" s="84" t="s">
        <v>373</v>
      </c>
      <c r="B51" s="30" t="s">
        <v>101</v>
      </c>
      <c r="C51" s="400"/>
      <c r="D51" s="23" t="s">
        <v>112</v>
      </c>
      <c r="E51" s="148"/>
      <c r="F51" s="205"/>
      <c r="G51" s="149">
        <v>4</v>
      </c>
      <c r="H51" s="97">
        <f>+SUM('B6A Radio Qty Per Year'!I16:I19)+H50</f>
        <v>190854</v>
      </c>
      <c r="I51" s="31">
        <f t="shared" si="3"/>
        <v>0</v>
      </c>
      <c r="J51" s="48"/>
      <c r="K51" s="150">
        <f t="shared" si="4"/>
        <v>0</v>
      </c>
    </row>
    <row r="52" spans="1:11" ht="24" customHeight="1" thickBot="1" x14ac:dyDescent="0.35">
      <c r="A52" s="84" t="s">
        <v>374</v>
      </c>
      <c r="B52" s="30" t="s">
        <v>101</v>
      </c>
      <c r="C52" s="400"/>
      <c r="D52" s="23" t="s">
        <v>113</v>
      </c>
      <c r="E52" s="148"/>
      <c r="F52" s="205"/>
      <c r="G52" s="149">
        <v>5</v>
      </c>
      <c r="H52" s="97">
        <f t="shared" ref="H52:H67" si="5">+SUM($I$40:$I$43)</f>
        <v>220090</v>
      </c>
      <c r="I52" s="31">
        <f t="shared" si="3"/>
        <v>0</v>
      </c>
      <c r="J52" s="48"/>
      <c r="K52" s="150">
        <f t="shared" si="4"/>
        <v>0</v>
      </c>
    </row>
    <row r="53" spans="1:11" ht="24" customHeight="1" thickBot="1" x14ac:dyDescent="0.35">
      <c r="A53" s="84" t="s">
        <v>375</v>
      </c>
      <c r="B53" s="30" t="s">
        <v>101</v>
      </c>
      <c r="C53" s="400"/>
      <c r="D53" s="23" t="s">
        <v>114</v>
      </c>
      <c r="E53" s="148"/>
      <c r="F53" s="205"/>
      <c r="G53" s="149">
        <v>6</v>
      </c>
      <c r="H53" s="97">
        <f t="shared" si="5"/>
        <v>220090</v>
      </c>
      <c r="I53" s="31">
        <f t="shared" si="3"/>
        <v>0</v>
      </c>
      <c r="J53" s="48"/>
      <c r="K53" s="150">
        <f t="shared" si="4"/>
        <v>0</v>
      </c>
    </row>
    <row r="54" spans="1:11" ht="24" customHeight="1" thickBot="1" x14ac:dyDescent="0.35">
      <c r="A54" s="84" t="s">
        <v>376</v>
      </c>
      <c r="B54" s="30" t="s">
        <v>101</v>
      </c>
      <c r="C54" s="400"/>
      <c r="D54" s="23" t="s">
        <v>115</v>
      </c>
      <c r="E54" s="148"/>
      <c r="F54" s="205"/>
      <c r="G54" s="149">
        <v>7</v>
      </c>
      <c r="H54" s="97">
        <f t="shared" si="5"/>
        <v>220090</v>
      </c>
      <c r="I54" s="31">
        <f t="shared" si="3"/>
        <v>0</v>
      </c>
      <c r="J54" s="48"/>
      <c r="K54" s="150">
        <f t="shared" si="4"/>
        <v>0</v>
      </c>
    </row>
    <row r="55" spans="1:11" ht="24" customHeight="1" thickBot="1" x14ac:dyDescent="0.35">
      <c r="A55" s="84" t="s">
        <v>377</v>
      </c>
      <c r="B55" s="30" t="s">
        <v>101</v>
      </c>
      <c r="C55" s="400"/>
      <c r="D55" s="23" t="s">
        <v>116</v>
      </c>
      <c r="E55" s="148"/>
      <c r="F55" s="205"/>
      <c r="G55" s="149">
        <v>8</v>
      </c>
      <c r="H55" s="97">
        <f t="shared" si="5"/>
        <v>220090</v>
      </c>
      <c r="I55" s="31">
        <f t="shared" si="3"/>
        <v>0</v>
      </c>
      <c r="J55" s="48"/>
      <c r="K55" s="150">
        <f t="shared" si="4"/>
        <v>0</v>
      </c>
    </row>
    <row r="56" spans="1:11" ht="24" customHeight="1" thickBot="1" x14ac:dyDescent="0.35">
      <c r="A56" s="84" t="s">
        <v>378</v>
      </c>
      <c r="B56" s="30" t="s">
        <v>101</v>
      </c>
      <c r="C56" s="400"/>
      <c r="D56" s="23" t="s">
        <v>117</v>
      </c>
      <c r="E56" s="148"/>
      <c r="F56" s="205"/>
      <c r="G56" s="149">
        <v>9</v>
      </c>
      <c r="H56" s="97">
        <f t="shared" si="5"/>
        <v>220090</v>
      </c>
      <c r="I56" s="31">
        <f t="shared" si="3"/>
        <v>0</v>
      </c>
      <c r="J56" s="48"/>
      <c r="K56" s="150">
        <f t="shared" si="4"/>
        <v>0</v>
      </c>
    </row>
    <row r="57" spans="1:11" ht="24" customHeight="1" thickBot="1" x14ac:dyDescent="0.35">
      <c r="A57" s="84" t="s">
        <v>379</v>
      </c>
      <c r="B57" s="30" t="s">
        <v>101</v>
      </c>
      <c r="C57" s="400"/>
      <c r="D57" s="23" t="s">
        <v>118</v>
      </c>
      <c r="E57" s="148"/>
      <c r="F57" s="205"/>
      <c r="G57" s="149">
        <v>10</v>
      </c>
      <c r="H57" s="97">
        <f t="shared" si="5"/>
        <v>220090</v>
      </c>
      <c r="I57" s="31">
        <f t="shared" si="3"/>
        <v>0</v>
      </c>
      <c r="J57" s="48"/>
      <c r="K57" s="150">
        <f t="shared" si="4"/>
        <v>0</v>
      </c>
    </row>
    <row r="58" spans="1:11" ht="24" customHeight="1" thickBot="1" x14ac:dyDescent="0.35">
      <c r="A58" s="84" t="s">
        <v>380</v>
      </c>
      <c r="B58" s="30" t="s">
        <v>101</v>
      </c>
      <c r="C58" s="400"/>
      <c r="D58" s="23" t="s">
        <v>119</v>
      </c>
      <c r="E58" s="148"/>
      <c r="F58" s="205"/>
      <c r="G58" s="149">
        <v>11</v>
      </c>
      <c r="H58" s="97">
        <f t="shared" si="5"/>
        <v>220090</v>
      </c>
      <c r="I58" s="31">
        <f t="shared" si="3"/>
        <v>0</v>
      </c>
      <c r="J58" s="48"/>
      <c r="K58" s="150">
        <f t="shared" si="4"/>
        <v>0</v>
      </c>
    </row>
    <row r="59" spans="1:11" ht="24" customHeight="1" thickBot="1" x14ac:dyDescent="0.35">
      <c r="A59" s="84" t="s">
        <v>381</v>
      </c>
      <c r="B59" s="30" t="s">
        <v>101</v>
      </c>
      <c r="C59" s="400"/>
      <c r="D59" s="23" t="s">
        <v>120</v>
      </c>
      <c r="E59" s="148"/>
      <c r="F59" s="205"/>
      <c r="G59" s="149">
        <v>12</v>
      </c>
      <c r="H59" s="97">
        <f t="shared" si="5"/>
        <v>220090</v>
      </c>
      <c r="I59" s="31">
        <f t="shared" si="3"/>
        <v>0</v>
      </c>
      <c r="J59" s="48"/>
      <c r="K59" s="150">
        <f t="shared" si="4"/>
        <v>0</v>
      </c>
    </row>
    <row r="60" spans="1:11" ht="24" customHeight="1" thickBot="1" x14ac:dyDescent="0.35">
      <c r="A60" s="84" t="s">
        <v>382</v>
      </c>
      <c r="B60" s="30" t="s">
        <v>101</v>
      </c>
      <c r="C60" s="400"/>
      <c r="D60" s="23" t="s">
        <v>121</v>
      </c>
      <c r="E60" s="148"/>
      <c r="F60" s="205"/>
      <c r="G60" s="149">
        <v>13</v>
      </c>
      <c r="H60" s="97">
        <f t="shared" si="5"/>
        <v>220090</v>
      </c>
      <c r="I60" s="31">
        <f t="shared" si="3"/>
        <v>0</v>
      </c>
      <c r="J60" s="48"/>
      <c r="K60" s="150">
        <f t="shared" si="4"/>
        <v>0</v>
      </c>
    </row>
    <row r="61" spans="1:11" ht="24" customHeight="1" thickBot="1" x14ac:dyDescent="0.35">
      <c r="A61" s="84" t="s">
        <v>383</v>
      </c>
      <c r="B61" s="30" t="s">
        <v>101</v>
      </c>
      <c r="C61" s="400"/>
      <c r="D61" s="23" t="s">
        <v>122</v>
      </c>
      <c r="E61" s="148"/>
      <c r="F61" s="205"/>
      <c r="G61" s="149">
        <v>14</v>
      </c>
      <c r="H61" s="97">
        <f t="shared" si="5"/>
        <v>220090</v>
      </c>
      <c r="I61" s="31">
        <f t="shared" si="3"/>
        <v>0</v>
      </c>
      <c r="J61" s="48"/>
      <c r="K61" s="150">
        <f t="shared" si="4"/>
        <v>0</v>
      </c>
    </row>
    <row r="62" spans="1:11" ht="24" customHeight="1" thickBot="1" x14ac:dyDescent="0.35">
      <c r="A62" s="84" t="s">
        <v>384</v>
      </c>
      <c r="B62" s="30" t="s">
        <v>101</v>
      </c>
      <c r="C62" s="400"/>
      <c r="D62" s="23" t="s">
        <v>123</v>
      </c>
      <c r="E62" s="148"/>
      <c r="F62" s="205"/>
      <c r="G62" s="149">
        <v>15</v>
      </c>
      <c r="H62" s="97">
        <f t="shared" si="5"/>
        <v>220090</v>
      </c>
      <c r="I62" s="31">
        <f t="shared" si="3"/>
        <v>0</v>
      </c>
      <c r="J62" s="48"/>
      <c r="K62" s="150">
        <f t="shared" si="4"/>
        <v>0</v>
      </c>
    </row>
    <row r="63" spans="1:11" ht="24" customHeight="1" thickBot="1" x14ac:dyDescent="0.35">
      <c r="A63" s="84" t="s">
        <v>385</v>
      </c>
      <c r="B63" s="30" t="s">
        <v>101</v>
      </c>
      <c r="C63" s="400"/>
      <c r="D63" s="23" t="s">
        <v>124</v>
      </c>
      <c r="E63" s="148"/>
      <c r="F63" s="205"/>
      <c r="G63" s="149">
        <v>16</v>
      </c>
      <c r="H63" s="97">
        <f t="shared" si="5"/>
        <v>220090</v>
      </c>
      <c r="I63" s="31">
        <f t="shared" si="3"/>
        <v>0</v>
      </c>
      <c r="J63" s="48"/>
      <c r="K63" s="150">
        <f t="shared" si="4"/>
        <v>0</v>
      </c>
    </row>
    <row r="64" spans="1:11" ht="24" customHeight="1" thickBot="1" x14ac:dyDescent="0.35">
      <c r="A64" s="84" t="s">
        <v>386</v>
      </c>
      <c r="B64" s="30" t="s">
        <v>101</v>
      </c>
      <c r="C64" s="400"/>
      <c r="D64" s="23" t="s">
        <v>125</v>
      </c>
      <c r="E64" s="148"/>
      <c r="F64" s="205"/>
      <c r="G64" s="149">
        <v>17</v>
      </c>
      <c r="H64" s="97">
        <f t="shared" si="5"/>
        <v>220090</v>
      </c>
      <c r="I64" s="31">
        <f t="shared" si="3"/>
        <v>0</v>
      </c>
      <c r="J64" s="48"/>
      <c r="K64" s="150">
        <f t="shared" si="4"/>
        <v>0</v>
      </c>
    </row>
    <row r="65" spans="1:11" ht="24" customHeight="1" thickBot="1" x14ac:dyDescent="0.35">
      <c r="A65" s="84" t="s">
        <v>387</v>
      </c>
      <c r="B65" s="30" t="s">
        <v>101</v>
      </c>
      <c r="C65" s="400"/>
      <c r="D65" s="23" t="s">
        <v>126</v>
      </c>
      <c r="E65" s="148"/>
      <c r="F65" s="205"/>
      <c r="G65" s="149">
        <v>18</v>
      </c>
      <c r="H65" s="97">
        <f t="shared" si="5"/>
        <v>220090</v>
      </c>
      <c r="I65" s="31">
        <f t="shared" si="3"/>
        <v>0</v>
      </c>
      <c r="J65" s="48"/>
      <c r="K65" s="150">
        <f t="shared" si="4"/>
        <v>0</v>
      </c>
    </row>
    <row r="66" spans="1:11" ht="24" customHeight="1" thickBot="1" x14ac:dyDescent="0.35">
      <c r="A66" s="84" t="s">
        <v>388</v>
      </c>
      <c r="B66" s="30" t="s">
        <v>101</v>
      </c>
      <c r="C66" s="400"/>
      <c r="D66" s="23" t="s">
        <v>127</v>
      </c>
      <c r="E66" s="148"/>
      <c r="F66" s="205"/>
      <c r="G66" s="149">
        <v>19</v>
      </c>
      <c r="H66" s="97">
        <f t="shared" si="5"/>
        <v>220090</v>
      </c>
      <c r="I66" s="31">
        <f t="shared" si="3"/>
        <v>0</v>
      </c>
      <c r="J66" s="48"/>
      <c r="K66" s="150">
        <f t="shared" si="4"/>
        <v>0</v>
      </c>
    </row>
    <row r="67" spans="1:11" ht="24" customHeight="1" thickBot="1" x14ac:dyDescent="0.35">
      <c r="A67" s="84" t="s">
        <v>389</v>
      </c>
      <c r="B67" s="30" t="s">
        <v>101</v>
      </c>
      <c r="C67" s="401"/>
      <c r="D67" s="23" t="s">
        <v>128</v>
      </c>
      <c r="E67" s="148"/>
      <c r="F67" s="205"/>
      <c r="G67" s="149">
        <v>20</v>
      </c>
      <c r="H67" s="97">
        <f t="shared" si="5"/>
        <v>220090</v>
      </c>
      <c r="I67" s="31">
        <f t="shared" si="3"/>
        <v>0</v>
      </c>
      <c r="J67" s="48"/>
      <c r="K67" s="150">
        <f t="shared" si="4"/>
        <v>0</v>
      </c>
    </row>
    <row r="69" spans="1:11" ht="15" thickBot="1" x14ac:dyDescent="0.35"/>
    <row r="70" spans="1:11" ht="16.2" thickBot="1" x14ac:dyDescent="0.35">
      <c r="A70" s="395" t="s">
        <v>354</v>
      </c>
      <c r="B70" s="396"/>
      <c r="C70" s="396"/>
      <c r="D70" s="396"/>
      <c r="E70" s="396"/>
      <c r="F70" s="396"/>
      <c r="G70" s="396"/>
      <c r="H70" s="396"/>
      <c r="I70" s="396"/>
      <c r="J70" s="396"/>
      <c r="K70" s="397"/>
    </row>
    <row r="71" spans="1:11" ht="16.2" thickBot="1" x14ac:dyDescent="0.35">
      <c r="A71" s="95" t="s">
        <v>46</v>
      </c>
      <c r="B71" s="95" t="s">
        <v>91</v>
      </c>
      <c r="C71" s="96" t="s">
        <v>48</v>
      </c>
      <c r="D71" s="96" t="s">
        <v>49</v>
      </c>
      <c r="E71" s="96" t="s">
        <v>50</v>
      </c>
      <c r="F71" s="96"/>
      <c r="G71" s="96" t="s">
        <v>92</v>
      </c>
      <c r="H71" s="96" t="s">
        <v>93</v>
      </c>
      <c r="I71" s="96" t="s">
        <v>52</v>
      </c>
      <c r="J71" s="96" t="s">
        <v>100</v>
      </c>
      <c r="K71" s="96" t="s">
        <v>7</v>
      </c>
    </row>
    <row r="72" spans="1:11" ht="33.75" customHeight="1" thickBot="1" x14ac:dyDescent="0.35">
      <c r="A72" s="84" t="s">
        <v>390</v>
      </c>
      <c r="B72" s="109" t="s">
        <v>101</v>
      </c>
      <c r="C72" s="353" t="s">
        <v>129</v>
      </c>
      <c r="D72" s="9" t="s">
        <v>282</v>
      </c>
      <c r="E72" s="27" t="s">
        <v>55</v>
      </c>
      <c r="F72" s="111"/>
      <c r="G72" s="4">
        <v>1</v>
      </c>
      <c r="H72" s="24">
        <f>'B1A - Mtr Qty by Year'!K10</f>
        <v>1794</v>
      </c>
      <c r="I72" s="146">
        <f>+H72</f>
        <v>1794</v>
      </c>
      <c r="J72" s="147">
        <v>0</v>
      </c>
      <c r="K72" s="13">
        <f>J72*I72</f>
        <v>0</v>
      </c>
    </row>
    <row r="73" spans="1:11" ht="33.75" customHeight="1" thickBot="1" x14ac:dyDescent="0.35">
      <c r="A73" s="84" t="s">
        <v>391</v>
      </c>
      <c r="B73" s="109" t="s">
        <v>101</v>
      </c>
      <c r="C73" s="360"/>
      <c r="D73" s="9" t="s">
        <v>215</v>
      </c>
      <c r="E73" s="27" t="s">
        <v>55</v>
      </c>
      <c r="F73" s="111"/>
      <c r="G73" s="4">
        <v>1</v>
      </c>
      <c r="H73" s="24">
        <f>'B1A - Mtr Qty by Year'!K11</f>
        <v>1424</v>
      </c>
      <c r="I73" s="146">
        <f>+H73</f>
        <v>1424</v>
      </c>
      <c r="J73" s="147">
        <v>0</v>
      </c>
      <c r="K73" s="13">
        <f>J73*I73</f>
        <v>0</v>
      </c>
    </row>
    <row r="74" spans="1:11" ht="16.2" thickBot="1" x14ac:dyDescent="0.35">
      <c r="A74" s="398" t="s">
        <v>130</v>
      </c>
      <c r="B74" s="398"/>
      <c r="C74" s="398"/>
      <c r="D74" s="398"/>
      <c r="E74" s="398"/>
      <c r="F74" s="398"/>
      <c r="G74" s="398"/>
      <c r="H74" s="398"/>
      <c r="I74" s="398"/>
      <c r="J74" s="398"/>
      <c r="K74" s="13">
        <f>SUM(K72:K73)/SUM(I72:I73)</f>
        <v>0</v>
      </c>
    </row>
    <row r="75" spans="1:11" ht="24" customHeight="1" thickBot="1" x14ac:dyDescent="0.35">
      <c r="A75" s="395" t="s">
        <v>355</v>
      </c>
      <c r="B75" s="396"/>
      <c r="C75" s="396"/>
      <c r="D75" s="396"/>
      <c r="E75" s="396"/>
      <c r="F75" s="396"/>
      <c r="G75" s="396"/>
      <c r="H75" s="396"/>
      <c r="I75" s="396"/>
      <c r="J75" s="396"/>
      <c r="K75" s="397"/>
    </row>
    <row r="76" spans="1:11" ht="80.25" customHeight="1" thickBot="1" x14ac:dyDescent="0.35">
      <c r="A76" s="95" t="s">
        <v>46</v>
      </c>
      <c r="B76" s="95" t="s">
        <v>91</v>
      </c>
      <c r="C76" s="96" t="s">
        <v>48</v>
      </c>
      <c r="D76" s="96" t="s">
        <v>49</v>
      </c>
      <c r="E76" s="96"/>
      <c r="F76" s="96" t="s">
        <v>105</v>
      </c>
      <c r="G76" s="96" t="s">
        <v>106</v>
      </c>
      <c r="H76" s="96" t="s">
        <v>93</v>
      </c>
      <c r="I76" s="96" t="s">
        <v>52</v>
      </c>
      <c r="J76" s="96" t="s">
        <v>107</v>
      </c>
      <c r="K76" s="96" t="s">
        <v>108</v>
      </c>
    </row>
    <row r="77" spans="1:11" ht="24" customHeight="1" thickBot="1" x14ac:dyDescent="0.35">
      <c r="A77" s="84" t="s">
        <v>392</v>
      </c>
      <c r="B77" s="30" t="s">
        <v>101</v>
      </c>
      <c r="C77" s="399" t="s">
        <v>131</v>
      </c>
      <c r="D77" s="23" t="s">
        <v>109</v>
      </c>
      <c r="E77" s="148"/>
      <c r="F77" s="205"/>
      <c r="G77" s="149">
        <v>1</v>
      </c>
      <c r="H77" s="97">
        <f>+SUM('B6A Radio Qty Per Year'!F20:F21)</f>
        <v>202</v>
      </c>
      <c r="I77" s="31">
        <f t="shared" ref="I77:I96" si="6">ROUND(H77*F77,0)</f>
        <v>0</v>
      </c>
      <c r="J77" s="48"/>
      <c r="K77" s="150">
        <f>(1-J77)*I77*$K$74</f>
        <v>0</v>
      </c>
    </row>
    <row r="78" spans="1:11" ht="24" customHeight="1" thickBot="1" x14ac:dyDescent="0.35">
      <c r="A78" s="84" t="s">
        <v>393</v>
      </c>
      <c r="B78" s="30" t="s">
        <v>101</v>
      </c>
      <c r="C78" s="400"/>
      <c r="D78" s="23" t="s">
        <v>110</v>
      </c>
      <c r="E78" s="148"/>
      <c r="F78" s="205"/>
      <c r="G78" s="149">
        <v>2</v>
      </c>
      <c r="H78" s="97">
        <f>+SUM('B6A Radio Qty Per Year'!G20:G21)+H77</f>
        <v>935</v>
      </c>
      <c r="I78" s="31">
        <f t="shared" si="6"/>
        <v>0</v>
      </c>
      <c r="J78" s="48"/>
      <c r="K78" s="150">
        <f t="shared" ref="K78:K96" si="7">(1-J78)*I78*$K$74</f>
        <v>0</v>
      </c>
    </row>
    <row r="79" spans="1:11" ht="24" customHeight="1" thickBot="1" x14ac:dyDescent="0.35">
      <c r="A79" s="84" t="s">
        <v>394</v>
      </c>
      <c r="B79" s="30" t="s">
        <v>101</v>
      </c>
      <c r="C79" s="400"/>
      <c r="D79" s="23" t="s">
        <v>111</v>
      </c>
      <c r="E79" s="148"/>
      <c r="F79" s="205"/>
      <c r="G79" s="149">
        <v>3</v>
      </c>
      <c r="H79" s="97">
        <f>+SUM('B6A Radio Qty Per Year'!H20:H21)+H78</f>
        <v>1925</v>
      </c>
      <c r="I79" s="31">
        <f t="shared" si="6"/>
        <v>0</v>
      </c>
      <c r="J79" s="48"/>
      <c r="K79" s="150">
        <f t="shared" si="7"/>
        <v>0</v>
      </c>
    </row>
    <row r="80" spans="1:11" ht="24" customHeight="1" thickBot="1" x14ac:dyDescent="0.35">
      <c r="A80" s="84" t="s">
        <v>395</v>
      </c>
      <c r="B80" s="30" t="s">
        <v>101</v>
      </c>
      <c r="C80" s="400"/>
      <c r="D80" s="23" t="s">
        <v>112</v>
      </c>
      <c r="E80" s="148"/>
      <c r="F80" s="205"/>
      <c r="G80" s="149">
        <v>4</v>
      </c>
      <c r="H80" s="97">
        <f>+SUM('B6A Radio Qty Per Year'!I20:I21)+H79</f>
        <v>2791</v>
      </c>
      <c r="I80" s="31">
        <f t="shared" si="6"/>
        <v>0</v>
      </c>
      <c r="J80" s="48"/>
      <c r="K80" s="150">
        <f t="shared" si="7"/>
        <v>0</v>
      </c>
    </row>
    <row r="81" spans="1:11" ht="24" customHeight="1" thickBot="1" x14ac:dyDescent="0.35">
      <c r="A81" s="84" t="s">
        <v>396</v>
      </c>
      <c r="B81" s="30" t="s">
        <v>101</v>
      </c>
      <c r="C81" s="400"/>
      <c r="D81" s="23" t="s">
        <v>113</v>
      </c>
      <c r="E81" s="148"/>
      <c r="F81" s="205"/>
      <c r="G81" s="149">
        <v>5</v>
      </c>
      <c r="H81" s="97">
        <f>+SUM('B6A Radio Qty Per Year'!J20:J21)+H80</f>
        <v>3218</v>
      </c>
      <c r="I81" s="31">
        <f t="shared" si="6"/>
        <v>0</v>
      </c>
      <c r="J81" s="48"/>
      <c r="K81" s="150">
        <f t="shared" si="7"/>
        <v>0</v>
      </c>
    </row>
    <row r="82" spans="1:11" ht="24" customHeight="1" thickBot="1" x14ac:dyDescent="0.35">
      <c r="A82" s="84" t="s">
        <v>397</v>
      </c>
      <c r="B82" s="30" t="s">
        <v>101</v>
      </c>
      <c r="C82" s="400"/>
      <c r="D82" s="23" t="s">
        <v>114</v>
      </c>
      <c r="E82" s="148"/>
      <c r="F82" s="205"/>
      <c r="G82" s="149">
        <v>6</v>
      </c>
      <c r="H82" s="97">
        <f t="shared" ref="H82:H96" si="8">+SUM($I$72:$I$73)</f>
        <v>3218</v>
      </c>
      <c r="I82" s="31">
        <f t="shared" si="6"/>
        <v>0</v>
      </c>
      <c r="J82" s="48"/>
      <c r="K82" s="150">
        <f t="shared" si="7"/>
        <v>0</v>
      </c>
    </row>
    <row r="83" spans="1:11" ht="24" customHeight="1" thickBot="1" x14ac:dyDescent="0.35">
      <c r="A83" s="84" t="s">
        <v>398</v>
      </c>
      <c r="B83" s="30" t="s">
        <v>101</v>
      </c>
      <c r="C83" s="400"/>
      <c r="D83" s="23" t="s">
        <v>115</v>
      </c>
      <c r="E83" s="148"/>
      <c r="F83" s="205"/>
      <c r="G83" s="149">
        <v>7</v>
      </c>
      <c r="H83" s="97">
        <f t="shared" si="8"/>
        <v>3218</v>
      </c>
      <c r="I83" s="31">
        <f t="shared" si="6"/>
        <v>0</v>
      </c>
      <c r="J83" s="48"/>
      <c r="K83" s="150">
        <f t="shared" si="7"/>
        <v>0</v>
      </c>
    </row>
    <row r="84" spans="1:11" ht="24" customHeight="1" thickBot="1" x14ac:dyDescent="0.35">
      <c r="A84" s="84" t="s">
        <v>399</v>
      </c>
      <c r="B84" s="30" t="s">
        <v>101</v>
      </c>
      <c r="C84" s="400"/>
      <c r="D84" s="23" t="s">
        <v>116</v>
      </c>
      <c r="E84" s="148"/>
      <c r="F84" s="205"/>
      <c r="G84" s="149">
        <v>8</v>
      </c>
      <c r="H84" s="97">
        <f t="shared" si="8"/>
        <v>3218</v>
      </c>
      <c r="I84" s="31">
        <f t="shared" si="6"/>
        <v>0</v>
      </c>
      <c r="J84" s="48"/>
      <c r="K84" s="150">
        <f t="shared" si="7"/>
        <v>0</v>
      </c>
    </row>
    <row r="85" spans="1:11" ht="24" customHeight="1" thickBot="1" x14ac:dyDescent="0.35">
      <c r="A85" s="84" t="s">
        <v>400</v>
      </c>
      <c r="B85" s="30" t="s">
        <v>101</v>
      </c>
      <c r="C85" s="400"/>
      <c r="D85" s="23" t="s">
        <v>117</v>
      </c>
      <c r="E85" s="148"/>
      <c r="F85" s="205"/>
      <c r="G85" s="149">
        <v>9</v>
      </c>
      <c r="H85" s="97">
        <f t="shared" si="8"/>
        <v>3218</v>
      </c>
      <c r="I85" s="31">
        <f t="shared" si="6"/>
        <v>0</v>
      </c>
      <c r="J85" s="48"/>
      <c r="K85" s="150">
        <f t="shared" si="7"/>
        <v>0</v>
      </c>
    </row>
    <row r="86" spans="1:11" ht="24" customHeight="1" thickBot="1" x14ac:dyDescent="0.35">
      <c r="A86" s="84" t="s">
        <v>401</v>
      </c>
      <c r="B86" s="30" t="s">
        <v>101</v>
      </c>
      <c r="C86" s="400"/>
      <c r="D86" s="23" t="s">
        <v>118</v>
      </c>
      <c r="E86" s="148"/>
      <c r="F86" s="205"/>
      <c r="G86" s="149">
        <v>10</v>
      </c>
      <c r="H86" s="97">
        <f t="shared" si="8"/>
        <v>3218</v>
      </c>
      <c r="I86" s="31">
        <f t="shared" si="6"/>
        <v>0</v>
      </c>
      <c r="J86" s="48"/>
      <c r="K86" s="150">
        <f t="shared" si="7"/>
        <v>0</v>
      </c>
    </row>
    <row r="87" spans="1:11" ht="24" customHeight="1" thickBot="1" x14ac:dyDescent="0.35">
      <c r="A87" s="84" t="s">
        <v>402</v>
      </c>
      <c r="B87" s="30" t="s">
        <v>101</v>
      </c>
      <c r="C87" s="400"/>
      <c r="D87" s="23" t="s">
        <v>119</v>
      </c>
      <c r="E87" s="148"/>
      <c r="F87" s="205"/>
      <c r="G87" s="149">
        <v>11</v>
      </c>
      <c r="H87" s="97">
        <f t="shared" si="8"/>
        <v>3218</v>
      </c>
      <c r="I87" s="31">
        <f t="shared" si="6"/>
        <v>0</v>
      </c>
      <c r="J87" s="48"/>
      <c r="K87" s="150">
        <f t="shared" si="7"/>
        <v>0</v>
      </c>
    </row>
    <row r="88" spans="1:11" ht="24" customHeight="1" thickBot="1" x14ac:dyDescent="0.35">
      <c r="A88" s="84" t="s">
        <v>403</v>
      </c>
      <c r="B88" s="30" t="s">
        <v>101</v>
      </c>
      <c r="C88" s="400"/>
      <c r="D88" s="23" t="s">
        <v>120</v>
      </c>
      <c r="E88" s="148"/>
      <c r="F88" s="205"/>
      <c r="G88" s="149">
        <v>12</v>
      </c>
      <c r="H88" s="97">
        <f t="shared" si="8"/>
        <v>3218</v>
      </c>
      <c r="I88" s="31">
        <f t="shared" si="6"/>
        <v>0</v>
      </c>
      <c r="J88" s="48"/>
      <c r="K88" s="150">
        <f t="shared" si="7"/>
        <v>0</v>
      </c>
    </row>
    <row r="89" spans="1:11" ht="24" customHeight="1" thickBot="1" x14ac:dyDescent="0.35">
      <c r="A89" s="84" t="s">
        <v>404</v>
      </c>
      <c r="B89" s="30" t="s">
        <v>101</v>
      </c>
      <c r="C89" s="400"/>
      <c r="D89" s="23" t="s">
        <v>121</v>
      </c>
      <c r="E89" s="148"/>
      <c r="F89" s="205"/>
      <c r="G89" s="149">
        <v>13</v>
      </c>
      <c r="H89" s="97">
        <f t="shared" si="8"/>
        <v>3218</v>
      </c>
      <c r="I89" s="31">
        <f t="shared" si="6"/>
        <v>0</v>
      </c>
      <c r="J89" s="48"/>
      <c r="K89" s="150">
        <f t="shared" si="7"/>
        <v>0</v>
      </c>
    </row>
    <row r="90" spans="1:11" ht="24" customHeight="1" thickBot="1" x14ac:dyDescent="0.35">
      <c r="A90" s="84" t="s">
        <v>405</v>
      </c>
      <c r="B90" s="30" t="s">
        <v>101</v>
      </c>
      <c r="C90" s="400"/>
      <c r="D90" s="23" t="s">
        <v>122</v>
      </c>
      <c r="E90" s="148"/>
      <c r="F90" s="205"/>
      <c r="G90" s="149">
        <v>14</v>
      </c>
      <c r="H90" s="97">
        <f t="shared" si="8"/>
        <v>3218</v>
      </c>
      <c r="I90" s="31">
        <f t="shared" si="6"/>
        <v>0</v>
      </c>
      <c r="J90" s="48"/>
      <c r="K90" s="150">
        <f t="shared" si="7"/>
        <v>0</v>
      </c>
    </row>
    <row r="91" spans="1:11" ht="24" customHeight="1" thickBot="1" x14ac:dyDescent="0.35">
      <c r="A91" s="84" t="s">
        <v>406</v>
      </c>
      <c r="B91" s="30" t="s">
        <v>101</v>
      </c>
      <c r="C91" s="400"/>
      <c r="D91" s="23" t="s">
        <v>123</v>
      </c>
      <c r="E91" s="148"/>
      <c r="F91" s="205"/>
      <c r="G91" s="149">
        <v>15</v>
      </c>
      <c r="H91" s="97">
        <f t="shared" si="8"/>
        <v>3218</v>
      </c>
      <c r="I91" s="31">
        <f t="shared" si="6"/>
        <v>0</v>
      </c>
      <c r="J91" s="48"/>
      <c r="K91" s="150">
        <f t="shared" si="7"/>
        <v>0</v>
      </c>
    </row>
    <row r="92" spans="1:11" ht="24" customHeight="1" thickBot="1" x14ac:dyDescent="0.35">
      <c r="A92" s="84" t="s">
        <v>407</v>
      </c>
      <c r="B92" s="30" t="s">
        <v>101</v>
      </c>
      <c r="C92" s="400"/>
      <c r="D92" s="23" t="s">
        <v>124</v>
      </c>
      <c r="E92" s="148"/>
      <c r="F92" s="205"/>
      <c r="G92" s="149">
        <v>16</v>
      </c>
      <c r="H92" s="97">
        <f t="shared" si="8"/>
        <v>3218</v>
      </c>
      <c r="I92" s="31">
        <f t="shared" si="6"/>
        <v>0</v>
      </c>
      <c r="J92" s="48"/>
      <c r="K92" s="150">
        <f t="shared" si="7"/>
        <v>0</v>
      </c>
    </row>
    <row r="93" spans="1:11" ht="24" customHeight="1" thickBot="1" x14ac:dyDescent="0.35">
      <c r="A93" s="84" t="s">
        <v>408</v>
      </c>
      <c r="B93" s="30" t="s">
        <v>101</v>
      </c>
      <c r="C93" s="400"/>
      <c r="D93" s="23" t="s">
        <v>125</v>
      </c>
      <c r="E93" s="148"/>
      <c r="F93" s="205"/>
      <c r="G93" s="149">
        <v>17</v>
      </c>
      <c r="H93" s="97">
        <f t="shared" si="8"/>
        <v>3218</v>
      </c>
      <c r="I93" s="31">
        <f t="shared" si="6"/>
        <v>0</v>
      </c>
      <c r="J93" s="48"/>
      <c r="K93" s="150">
        <f t="shared" si="7"/>
        <v>0</v>
      </c>
    </row>
    <row r="94" spans="1:11" ht="24" customHeight="1" thickBot="1" x14ac:dyDescent="0.35">
      <c r="A94" s="84" t="s">
        <v>409</v>
      </c>
      <c r="B94" s="30" t="s">
        <v>101</v>
      </c>
      <c r="C94" s="400"/>
      <c r="D94" s="23" t="s">
        <v>126</v>
      </c>
      <c r="E94" s="148"/>
      <c r="F94" s="205"/>
      <c r="G94" s="149">
        <v>18</v>
      </c>
      <c r="H94" s="97">
        <f t="shared" si="8"/>
        <v>3218</v>
      </c>
      <c r="I94" s="31">
        <f t="shared" si="6"/>
        <v>0</v>
      </c>
      <c r="J94" s="48"/>
      <c r="K94" s="150">
        <f t="shared" si="7"/>
        <v>0</v>
      </c>
    </row>
    <row r="95" spans="1:11" ht="24" customHeight="1" thickBot="1" x14ac:dyDescent="0.35">
      <c r="A95" s="84" t="s">
        <v>410</v>
      </c>
      <c r="B95" s="30" t="s">
        <v>101</v>
      </c>
      <c r="C95" s="400"/>
      <c r="D95" s="23" t="s">
        <v>127</v>
      </c>
      <c r="E95" s="148"/>
      <c r="F95" s="205"/>
      <c r="G95" s="149">
        <v>19</v>
      </c>
      <c r="H95" s="97">
        <f t="shared" si="8"/>
        <v>3218</v>
      </c>
      <c r="I95" s="31">
        <f t="shared" si="6"/>
        <v>0</v>
      </c>
      <c r="J95" s="48"/>
      <c r="K95" s="150">
        <f t="shared" si="7"/>
        <v>0</v>
      </c>
    </row>
    <row r="96" spans="1:11" ht="24" customHeight="1" thickBot="1" x14ac:dyDescent="0.35">
      <c r="A96" s="84" t="s">
        <v>411</v>
      </c>
      <c r="B96" s="30" t="s">
        <v>101</v>
      </c>
      <c r="C96" s="401"/>
      <c r="D96" s="23" t="s">
        <v>128</v>
      </c>
      <c r="E96" s="148"/>
      <c r="F96" s="205"/>
      <c r="G96" s="149">
        <v>20</v>
      </c>
      <c r="H96" s="97">
        <f t="shared" si="8"/>
        <v>3218</v>
      </c>
      <c r="I96" s="31">
        <f t="shared" si="6"/>
        <v>0</v>
      </c>
      <c r="J96" s="48"/>
      <c r="K96" s="150">
        <f t="shared" si="7"/>
        <v>0</v>
      </c>
    </row>
    <row r="97" spans="1:12" ht="16.2" thickBot="1" x14ac:dyDescent="0.35">
      <c r="A97" s="53"/>
      <c r="B97" s="53"/>
      <c r="C97" s="53"/>
      <c r="D97" s="53"/>
      <c r="E97" s="53"/>
      <c r="F97" s="53"/>
      <c r="G97" s="53"/>
      <c r="H97" s="53"/>
      <c r="I97" s="53"/>
      <c r="J97" s="53"/>
      <c r="K97" s="73"/>
    </row>
    <row r="98" spans="1:12" ht="16.2" thickBot="1" x14ac:dyDescent="0.35">
      <c r="A98" s="395" t="s">
        <v>353</v>
      </c>
      <c r="B98" s="396"/>
      <c r="C98" s="396"/>
      <c r="D98" s="396"/>
      <c r="E98" s="396"/>
      <c r="F98" s="396"/>
      <c r="G98" s="396"/>
      <c r="H98" s="396"/>
      <c r="I98" s="396"/>
      <c r="J98" s="396"/>
      <c r="K98" s="397"/>
    </row>
    <row r="99" spans="1:12" ht="16.2" thickBot="1" x14ac:dyDescent="0.35">
      <c r="A99" s="95" t="s">
        <v>46</v>
      </c>
      <c r="B99" s="95" t="s">
        <v>91</v>
      </c>
      <c r="C99" s="96" t="s">
        <v>48</v>
      </c>
      <c r="D99" s="96" t="s">
        <v>49</v>
      </c>
      <c r="E99" s="96" t="s">
        <v>50</v>
      </c>
      <c r="F99" s="96"/>
      <c r="G99" s="96" t="s">
        <v>92</v>
      </c>
      <c r="H99" s="96" t="s">
        <v>93</v>
      </c>
      <c r="I99" s="96" t="s">
        <v>52</v>
      </c>
      <c r="J99" s="96" t="s">
        <v>100</v>
      </c>
      <c r="K99" s="96" t="s">
        <v>7</v>
      </c>
    </row>
    <row r="100" spans="1:12" ht="24.75" customHeight="1" thickBot="1" x14ac:dyDescent="0.35">
      <c r="A100" s="84" t="s">
        <v>412</v>
      </c>
      <c r="B100" s="109" t="s">
        <v>101</v>
      </c>
      <c r="C100" s="402" t="s">
        <v>129</v>
      </c>
      <c r="D100" s="9" t="s">
        <v>216</v>
      </c>
      <c r="E100" s="27" t="s">
        <v>55</v>
      </c>
      <c r="F100" s="27"/>
      <c r="G100" s="4">
        <v>1</v>
      </c>
      <c r="H100" s="24">
        <f>'B1A - Mtr Qty by Year'!K12</f>
        <v>176</v>
      </c>
      <c r="I100" s="146">
        <f>+H100</f>
        <v>176</v>
      </c>
      <c r="J100" s="147">
        <v>0</v>
      </c>
      <c r="K100" s="13">
        <f>J100*I100</f>
        <v>0</v>
      </c>
    </row>
    <row r="101" spans="1:12" ht="24.75" customHeight="1" thickBot="1" x14ac:dyDescent="0.35">
      <c r="A101" s="84" t="s">
        <v>413</v>
      </c>
      <c r="B101" s="109" t="s">
        <v>101</v>
      </c>
      <c r="C101" s="403"/>
      <c r="D101" s="9" t="s">
        <v>217</v>
      </c>
      <c r="E101" s="27" t="s">
        <v>55</v>
      </c>
      <c r="F101" s="27"/>
      <c r="G101" s="4">
        <v>1</v>
      </c>
      <c r="H101" s="24">
        <f>'B1A - Mtr Qty by Year'!K13</f>
        <v>62</v>
      </c>
      <c r="I101" s="146">
        <f t="shared" ref="I101:I104" si="9">+H101</f>
        <v>62</v>
      </c>
      <c r="J101" s="147">
        <v>0</v>
      </c>
      <c r="K101" s="13">
        <f>J101*I101</f>
        <v>0</v>
      </c>
    </row>
    <row r="102" spans="1:12" ht="24.75" customHeight="1" thickBot="1" x14ac:dyDescent="0.35">
      <c r="A102" s="84" t="s">
        <v>414</v>
      </c>
      <c r="B102" s="109" t="s">
        <v>101</v>
      </c>
      <c r="C102" s="403"/>
      <c r="D102" s="9" t="s">
        <v>218</v>
      </c>
      <c r="E102" s="27" t="s">
        <v>55</v>
      </c>
      <c r="F102" s="27"/>
      <c r="G102" s="4">
        <v>1</v>
      </c>
      <c r="H102" s="24">
        <f>'B1A - Mtr Qty by Year'!K14</f>
        <v>22</v>
      </c>
      <c r="I102" s="146">
        <f t="shared" si="9"/>
        <v>22</v>
      </c>
      <c r="J102" s="147">
        <v>0</v>
      </c>
      <c r="K102" s="13">
        <f t="shared" ref="K102:K104" si="10">J102*I102</f>
        <v>0</v>
      </c>
    </row>
    <row r="103" spans="1:12" ht="24.75" customHeight="1" thickBot="1" x14ac:dyDescent="0.35">
      <c r="A103" s="84" t="s">
        <v>415</v>
      </c>
      <c r="B103" s="109" t="s">
        <v>101</v>
      </c>
      <c r="C103" s="403"/>
      <c r="D103" s="9" t="s">
        <v>219</v>
      </c>
      <c r="E103" s="27" t="s">
        <v>55</v>
      </c>
      <c r="F103" s="27"/>
      <c r="G103" s="4">
        <v>1</v>
      </c>
      <c r="H103" s="24">
        <f>'B1A - Mtr Qty by Year'!K15</f>
        <v>4</v>
      </c>
      <c r="I103" s="146">
        <f t="shared" si="9"/>
        <v>4</v>
      </c>
      <c r="J103" s="147">
        <v>0</v>
      </c>
      <c r="K103" s="13">
        <f t="shared" si="10"/>
        <v>0</v>
      </c>
    </row>
    <row r="104" spans="1:12" ht="24.75" customHeight="1" thickBot="1" x14ac:dyDescent="0.35">
      <c r="A104" s="84" t="s">
        <v>416</v>
      </c>
      <c r="B104" s="109" t="s">
        <v>101</v>
      </c>
      <c r="C104" s="53"/>
      <c r="D104" s="9" t="s">
        <v>283</v>
      </c>
      <c r="E104" s="27" t="s">
        <v>55</v>
      </c>
      <c r="F104" s="27"/>
      <c r="G104" s="4">
        <v>1</v>
      </c>
      <c r="H104" s="24">
        <f>'B1A - Mtr Qty by Year'!K16</f>
        <v>1</v>
      </c>
      <c r="I104" s="146">
        <f t="shared" si="9"/>
        <v>1</v>
      </c>
      <c r="J104" s="147">
        <v>0</v>
      </c>
      <c r="K104" s="13">
        <f t="shared" si="10"/>
        <v>0</v>
      </c>
    </row>
    <row r="105" spans="1:12" ht="16.2" thickBot="1" x14ac:dyDescent="0.35">
      <c r="A105" s="398" t="s">
        <v>130</v>
      </c>
      <c r="B105" s="398"/>
      <c r="C105" s="398"/>
      <c r="D105" s="398"/>
      <c r="E105" s="398"/>
      <c r="F105" s="398"/>
      <c r="G105" s="398"/>
      <c r="H105" s="398"/>
      <c r="I105" s="398"/>
      <c r="J105" s="398"/>
      <c r="K105" s="13">
        <f>SUM(K100:K104)/SUM(I100:I104)</f>
        <v>0</v>
      </c>
    </row>
    <row r="106" spans="1:12" ht="16.2" thickBot="1" x14ac:dyDescent="0.35">
      <c r="A106" s="53"/>
      <c r="B106" s="53"/>
      <c r="C106" s="53"/>
      <c r="D106" s="53"/>
      <c r="E106" s="53"/>
      <c r="F106" s="53"/>
      <c r="G106" s="53"/>
      <c r="H106" s="53"/>
      <c r="I106" s="53"/>
      <c r="J106" s="53"/>
      <c r="K106" s="73"/>
    </row>
    <row r="107" spans="1:12" ht="24" customHeight="1" thickBot="1" x14ac:dyDescent="0.35">
      <c r="A107" s="395" t="s">
        <v>352</v>
      </c>
      <c r="B107" s="396"/>
      <c r="C107" s="396"/>
      <c r="D107" s="396"/>
      <c r="E107" s="396"/>
      <c r="F107" s="396"/>
      <c r="G107" s="396"/>
      <c r="H107" s="396"/>
      <c r="I107" s="396"/>
      <c r="J107" s="396"/>
      <c r="K107" s="397"/>
    </row>
    <row r="108" spans="1:12" ht="29.25" customHeight="1" thickBot="1" x14ac:dyDescent="0.35">
      <c r="A108" s="95" t="s">
        <v>46</v>
      </c>
      <c r="B108" s="95" t="s">
        <v>91</v>
      </c>
      <c r="C108" s="96" t="s">
        <v>48</v>
      </c>
      <c r="D108" s="96" t="s">
        <v>49</v>
      </c>
      <c r="E108" s="96"/>
      <c r="F108" s="96" t="s">
        <v>105</v>
      </c>
      <c r="G108" s="96" t="s">
        <v>106</v>
      </c>
      <c r="H108" s="96" t="s">
        <v>93</v>
      </c>
      <c r="I108" s="96" t="s">
        <v>52</v>
      </c>
      <c r="J108" s="96" t="s">
        <v>107</v>
      </c>
      <c r="K108" s="96" t="s">
        <v>108</v>
      </c>
    </row>
    <row r="109" spans="1:12" ht="24" customHeight="1" thickBot="1" x14ac:dyDescent="0.35">
      <c r="A109" s="84" t="s">
        <v>417</v>
      </c>
      <c r="B109" s="30" t="s">
        <v>101</v>
      </c>
      <c r="C109" s="399" t="s">
        <v>131</v>
      </c>
      <c r="D109" s="23" t="s">
        <v>109</v>
      </c>
      <c r="E109" s="148"/>
      <c r="F109" s="205"/>
      <c r="G109" s="149">
        <v>1</v>
      </c>
      <c r="H109" s="97">
        <f>+SUM('B6A Radio Qty Per Year'!F22:F26)</f>
        <v>17</v>
      </c>
      <c r="I109" s="31">
        <f t="shared" ref="I109:I128" si="11">ROUND(H109*F109,0)</f>
        <v>0</v>
      </c>
      <c r="J109" s="48"/>
      <c r="K109" s="150">
        <f t="shared" ref="K109:K128" si="12">IF((1-J109)&gt;=1,(1-J109)*I109*$K$105,IF((1-J109=0),0,I109*$K$105))</f>
        <v>0</v>
      </c>
    </row>
    <row r="110" spans="1:12" ht="24" customHeight="1" thickBot="1" x14ac:dyDescent="0.35">
      <c r="A110" s="84" t="s">
        <v>418</v>
      </c>
      <c r="B110" s="30" t="s">
        <v>101</v>
      </c>
      <c r="C110" s="400"/>
      <c r="D110" s="23" t="s">
        <v>110</v>
      </c>
      <c r="E110" s="148"/>
      <c r="F110" s="205"/>
      <c r="G110" s="149">
        <v>2</v>
      </c>
      <c r="H110" s="97">
        <f>+SUM('B6A Radio Qty Per Year'!G22:G26)+H109</f>
        <v>77</v>
      </c>
      <c r="I110" s="31">
        <f t="shared" si="11"/>
        <v>0</v>
      </c>
      <c r="J110" s="48"/>
      <c r="K110" s="150">
        <f t="shared" si="12"/>
        <v>0</v>
      </c>
    </row>
    <row r="111" spans="1:12" ht="24" customHeight="1" thickBot="1" x14ac:dyDescent="0.35">
      <c r="A111" s="84" t="s">
        <v>419</v>
      </c>
      <c r="B111" s="30" t="s">
        <v>101</v>
      </c>
      <c r="C111" s="400"/>
      <c r="D111" s="23" t="s">
        <v>111</v>
      </c>
      <c r="E111" s="148"/>
      <c r="F111" s="205"/>
      <c r="G111" s="149">
        <v>3</v>
      </c>
      <c r="H111" s="97">
        <f>+SUM('B6A Radio Qty Per Year'!H22:H26)+H110</f>
        <v>158</v>
      </c>
      <c r="I111" s="31">
        <f t="shared" si="11"/>
        <v>0</v>
      </c>
      <c r="J111" s="48"/>
      <c r="K111" s="150">
        <f t="shared" si="12"/>
        <v>0</v>
      </c>
    </row>
    <row r="112" spans="1:12" ht="24" customHeight="1" thickBot="1" x14ac:dyDescent="0.35">
      <c r="A112" s="84" t="s">
        <v>420</v>
      </c>
      <c r="B112" s="30" t="s">
        <v>101</v>
      </c>
      <c r="C112" s="400"/>
      <c r="D112" s="23" t="s">
        <v>112</v>
      </c>
      <c r="E112" s="148"/>
      <c r="F112" s="205"/>
      <c r="G112" s="149">
        <v>4</v>
      </c>
      <c r="H112" s="97">
        <f>+SUM('B6A Radio Qty Per Year'!I22:I26)+H111</f>
        <v>230</v>
      </c>
      <c r="I112" s="31">
        <f t="shared" si="11"/>
        <v>0</v>
      </c>
      <c r="J112" s="48"/>
      <c r="K112" s="150">
        <f t="shared" si="12"/>
        <v>0</v>
      </c>
      <c r="L112" s="202"/>
    </row>
    <row r="113" spans="1:12" ht="24" customHeight="1" thickBot="1" x14ac:dyDescent="0.35">
      <c r="A113" s="84" t="s">
        <v>421</v>
      </c>
      <c r="B113" s="30" t="s">
        <v>101</v>
      </c>
      <c r="C113" s="400"/>
      <c r="D113" s="23" t="s">
        <v>113</v>
      </c>
      <c r="E113" s="148"/>
      <c r="F113" s="205"/>
      <c r="G113" s="149">
        <v>5</v>
      </c>
      <c r="H113" s="97">
        <f>+SUM('B6A Radio Qty Per Year'!J22:J26)+H112</f>
        <v>265</v>
      </c>
      <c r="I113" s="31">
        <f t="shared" si="11"/>
        <v>0</v>
      </c>
      <c r="J113" s="48"/>
      <c r="K113" s="150">
        <f t="shared" si="12"/>
        <v>0</v>
      </c>
    </row>
    <row r="114" spans="1:12" ht="24" customHeight="1" thickBot="1" x14ac:dyDescent="0.35">
      <c r="A114" s="84" t="s">
        <v>422</v>
      </c>
      <c r="B114" s="30" t="s">
        <v>101</v>
      </c>
      <c r="C114" s="400"/>
      <c r="D114" s="23" t="s">
        <v>114</v>
      </c>
      <c r="E114" s="148"/>
      <c r="F114" s="205"/>
      <c r="G114" s="149">
        <v>6</v>
      </c>
      <c r="H114" s="97">
        <f t="shared" ref="H114:H128" si="13">+SUM($I$100:$I$104)</f>
        <v>265</v>
      </c>
      <c r="I114" s="31">
        <f t="shared" si="11"/>
        <v>0</v>
      </c>
      <c r="J114" s="48"/>
      <c r="K114" s="150">
        <f t="shared" si="12"/>
        <v>0</v>
      </c>
      <c r="L114" s="201"/>
    </row>
    <row r="115" spans="1:12" ht="24" customHeight="1" thickBot="1" x14ac:dyDescent="0.35">
      <c r="A115" s="84" t="s">
        <v>423</v>
      </c>
      <c r="B115" s="30" t="s">
        <v>101</v>
      </c>
      <c r="C115" s="400"/>
      <c r="D115" s="23" t="s">
        <v>115</v>
      </c>
      <c r="E115" s="148"/>
      <c r="F115" s="205"/>
      <c r="G115" s="149">
        <v>7</v>
      </c>
      <c r="H115" s="97">
        <f t="shared" si="13"/>
        <v>265</v>
      </c>
      <c r="I115" s="31">
        <f t="shared" si="11"/>
        <v>0</v>
      </c>
      <c r="J115" s="48"/>
      <c r="K115" s="150">
        <f t="shared" si="12"/>
        <v>0</v>
      </c>
    </row>
    <row r="116" spans="1:12" ht="24" customHeight="1" thickBot="1" x14ac:dyDescent="0.35">
      <c r="A116" s="84" t="s">
        <v>424</v>
      </c>
      <c r="B116" s="30" t="s">
        <v>101</v>
      </c>
      <c r="C116" s="400"/>
      <c r="D116" s="23" t="s">
        <v>116</v>
      </c>
      <c r="E116" s="148"/>
      <c r="F116" s="205"/>
      <c r="G116" s="149">
        <v>8</v>
      </c>
      <c r="H116" s="97">
        <f t="shared" si="13"/>
        <v>265</v>
      </c>
      <c r="I116" s="31">
        <f t="shared" si="11"/>
        <v>0</v>
      </c>
      <c r="J116" s="48"/>
      <c r="K116" s="150">
        <f t="shared" si="12"/>
        <v>0</v>
      </c>
    </row>
    <row r="117" spans="1:12" ht="24" customHeight="1" thickBot="1" x14ac:dyDescent="0.35">
      <c r="A117" s="84" t="s">
        <v>425</v>
      </c>
      <c r="B117" s="30" t="s">
        <v>101</v>
      </c>
      <c r="C117" s="400"/>
      <c r="D117" s="23" t="s">
        <v>117</v>
      </c>
      <c r="E117" s="148"/>
      <c r="F117" s="205"/>
      <c r="G117" s="149">
        <v>9</v>
      </c>
      <c r="H117" s="97">
        <f t="shared" si="13"/>
        <v>265</v>
      </c>
      <c r="I117" s="31">
        <f t="shared" si="11"/>
        <v>0</v>
      </c>
      <c r="J117" s="48"/>
      <c r="K117" s="150">
        <f t="shared" si="12"/>
        <v>0</v>
      </c>
    </row>
    <row r="118" spans="1:12" ht="24" customHeight="1" thickBot="1" x14ac:dyDescent="0.35">
      <c r="A118" s="84" t="s">
        <v>426</v>
      </c>
      <c r="B118" s="30" t="s">
        <v>101</v>
      </c>
      <c r="C118" s="400"/>
      <c r="D118" s="23" t="s">
        <v>118</v>
      </c>
      <c r="E118" s="148"/>
      <c r="F118" s="205"/>
      <c r="G118" s="149">
        <v>10</v>
      </c>
      <c r="H118" s="97">
        <f t="shared" si="13"/>
        <v>265</v>
      </c>
      <c r="I118" s="31">
        <f t="shared" si="11"/>
        <v>0</v>
      </c>
      <c r="J118" s="48"/>
      <c r="K118" s="150">
        <f t="shared" si="12"/>
        <v>0</v>
      </c>
    </row>
    <row r="119" spans="1:12" ht="24" customHeight="1" thickBot="1" x14ac:dyDescent="0.35">
      <c r="A119" s="84" t="s">
        <v>427</v>
      </c>
      <c r="B119" s="30" t="s">
        <v>101</v>
      </c>
      <c r="C119" s="400"/>
      <c r="D119" s="23" t="s">
        <v>119</v>
      </c>
      <c r="E119" s="148"/>
      <c r="F119" s="205"/>
      <c r="G119" s="149">
        <v>11</v>
      </c>
      <c r="H119" s="97">
        <f t="shared" si="13"/>
        <v>265</v>
      </c>
      <c r="I119" s="31">
        <f t="shared" si="11"/>
        <v>0</v>
      </c>
      <c r="J119" s="48"/>
      <c r="K119" s="150">
        <f t="shared" si="12"/>
        <v>0</v>
      </c>
    </row>
    <row r="120" spans="1:12" ht="24" customHeight="1" thickBot="1" x14ac:dyDescent="0.35">
      <c r="A120" s="84" t="s">
        <v>428</v>
      </c>
      <c r="B120" s="30" t="s">
        <v>101</v>
      </c>
      <c r="C120" s="400"/>
      <c r="D120" s="23" t="s">
        <v>120</v>
      </c>
      <c r="E120" s="148"/>
      <c r="F120" s="205"/>
      <c r="G120" s="149">
        <v>12</v>
      </c>
      <c r="H120" s="97">
        <f t="shared" si="13"/>
        <v>265</v>
      </c>
      <c r="I120" s="31">
        <f t="shared" si="11"/>
        <v>0</v>
      </c>
      <c r="J120" s="48"/>
      <c r="K120" s="150">
        <f t="shared" si="12"/>
        <v>0</v>
      </c>
    </row>
    <row r="121" spans="1:12" ht="24" customHeight="1" thickBot="1" x14ac:dyDescent="0.35">
      <c r="A121" s="84" t="s">
        <v>429</v>
      </c>
      <c r="B121" s="30" t="s">
        <v>101</v>
      </c>
      <c r="C121" s="400"/>
      <c r="D121" s="23" t="s">
        <v>121</v>
      </c>
      <c r="E121" s="148"/>
      <c r="F121" s="205"/>
      <c r="G121" s="149">
        <v>13</v>
      </c>
      <c r="H121" s="97">
        <f t="shared" si="13"/>
        <v>265</v>
      </c>
      <c r="I121" s="31">
        <f t="shared" si="11"/>
        <v>0</v>
      </c>
      <c r="J121" s="48"/>
      <c r="K121" s="150">
        <f t="shared" si="12"/>
        <v>0</v>
      </c>
    </row>
    <row r="122" spans="1:12" ht="24" customHeight="1" thickBot="1" x14ac:dyDescent="0.35">
      <c r="A122" s="84" t="s">
        <v>430</v>
      </c>
      <c r="B122" s="30" t="s">
        <v>101</v>
      </c>
      <c r="C122" s="400"/>
      <c r="D122" s="23" t="s">
        <v>122</v>
      </c>
      <c r="E122" s="148"/>
      <c r="F122" s="205"/>
      <c r="G122" s="149">
        <v>14</v>
      </c>
      <c r="H122" s="97">
        <f t="shared" si="13"/>
        <v>265</v>
      </c>
      <c r="I122" s="31">
        <f t="shared" si="11"/>
        <v>0</v>
      </c>
      <c r="J122" s="48"/>
      <c r="K122" s="150">
        <f t="shared" si="12"/>
        <v>0</v>
      </c>
    </row>
    <row r="123" spans="1:12" ht="24" customHeight="1" thickBot="1" x14ac:dyDescent="0.35">
      <c r="A123" s="84" t="s">
        <v>431</v>
      </c>
      <c r="B123" s="30" t="s">
        <v>101</v>
      </c>
      <c r="C123" s="400"/>
      <c r="D123" s="23" t="s">
        <v>123</v>
      </c>
      <c r="E123" s="148"/>
      <c r="F123" s="205"/>
      <c r="G123" s="149">
        <v>15</v>
      </c>
      <c r="H123" s="97">
        <f t="shared" si="13"/>
        <v>265</v>
      </c>
      <c r="I123" s="31">
        <f t="shared" si="11"/>
        <v>0</v>
      </c>
      <c r="J123" s="48"/>
      <c r="K123" s="150">
        <f t="shared" si="12"/>
        <v>0</v>
      </c>
    </row>
    <row r="124" spans="1:12" ht="24" customHeight="1" thickBot="1" x14ac:dyDescent="0.35">
      <c r="A124" s="84" t="s">
        <v>432</v>
      </c>
      <c r="B124" s="30" t="s">
        <v>101</v>
      </c>
      <c r="C124" s="400"/>
      <c r="D124" s="23" t="s">
        <v>124</v>
      </c>
      <c r="E124" s="148"/>
      <c r="F124" s="205"/>
      <c r="G124" s="149">
        <v>16</v>
      </c>
      <c r="H124" s="97">
        <f t="shared" si="13"/>
        <v>265</v>
      </c>
      <c r="I124" s="31">
        <f t="shared" si="11"/>
        <v>0</v>
      </c>
      <c r="J124" s="48"/>
      <c r="K124" s="150">
        <f t="shared" si="12"/>
        <v>0</v>
      </c>
    </row>
    <row r="125" spans="1:12" ht="24" customHeight="1" thickBot="1" x14ac:dyDescent="0.35">
      <c r="A125" s="84" t="s">
        <v>433</v>
      </c>
      <c r="B125" s="30" t="s">
        <v>101</v>
      </c>
      <c r="C125" s="400"/>
      <c r="D125" s="23" t="s">
        <v>125</v>
      </c>
      <c r="E125" s="148"/>
      <c r="F125" s="205"/>
      <c r="G125" s="149">
        <v>17</v>
      </c>
      <c r="H125" s="97">
        <f t="shared" si="13"/>
        <v>265</v>
      </c>
      <c r="I125" s="31">
        <f t="shared" si="11"/>
        <v>0</v>
      </c>
      <c r="J125" s="48"/>
      <c r="K125" s="150">
        <f t="shared" si="12"/>
        <v>0</v>
      </c>
    </row>
    <row r="126" spans="1:12" ht="24" customHeight="1" thickBot="1" x14ac:dyDescent="0.35">
      <c r="A126" s="84" t="s">
        <v>434</v>
      </c>
      <c r="B126" s="30" t="s">
        <v>101</v>
      </c>
      <c r="C126" s="400"/>
      <c r="D126" s="23" t="s">
        <v>126</v>
      </c>
      <c r="E126" s="148"/>
      <c r="F126" s="205"/>
      <c r="G126" s="149">
        <v>18</v>
      </c>
      <c r="H126" s="97">
        <f t="shared" si="13"/>
        <v>265</v>
      </c>
      <c r="I126" s="31">
        <f t="shared" si="11"/>
        <v>0</v>
      </c>
      <c r="J126" s="48"/>
      <c r="K126" s="150">
        <f t="shared" si="12"/>
        <v>0</v>
      </c>
    </row>
    <row r="127" spans="1:12" ht="24" customHeight="1" thickBot="1" x14ac:dyDescent="0.35">
      <c r="A127" s="84" t="s">
        <v>435</v>
      </c>
      <c r="B127" s="30" t="s">
        <v>101</v>
      </c>
      <c r="C127" s="400"/>
      <c r="D127" s="23" t="s">
        <v>127</v>
      </c>
      <c r="E127" s="148"/>
      <c r="F127" s="205"/>
      <c r="G127" s="149">
        <v>19</v>
      </c>
      <c r="H127" s="97">
        <f t="shared" si="13"/>
        <v>265</v>
      </c>
      <c r="I127" s="31">
        <f t="shared" si="11"/>
        <v>0</v>
      </c>
      <c r="J127" s="48"/>
      <c r="K127" s="150">
        <f t="shared" si="12"/>
        <v>0</v>
      </c>
    </row>
    <row r="128" spans="1:12" ht="24" customHeight="1" thickBot="1" x14ac:dyDescent="0.35">
      <c r="A128" s="84" t="s">
        <v>436</v>
      </c>
      <c r="B128" s="30" t="s">
        <v>101</v>
      </c>
      <c r="C128" s="401"/>
      <c r="D128" s="23" t="s">
        <v>128</v>
      </c>
      <c r="E128" s="148"/>
      <c r="F128" s="205"/>
      <c r="G128" s="149">
        <v>20</v>
      </c>
      <c r="H128" s="97">
        <f t="shared" si="13"/>
        <v>265</v>
      </c>
      <c r="I128" s="31">
        <f t="shared" si="11"/>
        <v>0</v>
      </c>
      <c r="J128" s="48"/>
      <c r="K128" s="150">
        <f t="shared" si="12"/>
        <v>0</v>
      </c>
    </row>
    <row r="129" spans="1:24" ht="16.2" thickBot="1" x14ac:dyDescent="0.35">
      <c r="A129" s="53"/>
      <c r="B129" s="53"/>
      <c r="C129" s="53"/>
      <c r="D129" s="53"/>
      <c r="E129" s="53"/>
      <c r="F129" s="53"/>
      <c r="G129" s="53"/>
      <c r="H129" s="53"/>
      <c r="I129" s="53"/>
      <c r="J129" s="53"/>
      <c r="K129" s="73"/>
    </row>
    <row r="130" spans="1:24" ht="21.6" thickBot="1" x14ac:dyDescent="0.45">
      <c r="A130" s="404" t="s">
        <v>132</v>
      </c>
      <c r="B130" s="405"/>
      <c r="C130" s="405"/>
      <c r="D130" s="406"/>
    </row>
    <row r="131" spans="1:24" ht="15" thickBot="1" x14ac:dyDescent="0.35"/>
    <row r="132" spans="1:24" ht="18.600000000000001" thickBot="1" x14ac:dyDescent="0.4">
      <c r="A132" s="60" t="s">
        <v>133</v>
      </c>
      <c r="B132" s="61" t="s">
        <v>134</v>
      </c>
      <c r="C132" s="151"/>
      <c r="D132" s="61" t="s">
        <v>49</v>
      </c>
      <c r="E132" s="61">
        <v>1</v>
      </c>
      <c r="F132" s="61">
        <v>2</v>
      </c>
      <c r="G132" s="61">
        <f t="shared" ref="G132:X132" si="14">F132+1</f>
        <v>3</v>
      </c>
      <c r="H132" s="61">
        <f t="shared" si="14"/>
        <v>4</v>
      </c>
      <c r="I132" s="61">
        <f t="shared" si="14"/>
        <v>5</v>
      </c>
      <c r="J132" s="61">
        <f t="shared" si="14"/>
        <v>6</v>
      </c>
      <c r="K132" s="61">
        <f t="shared" si="14"/>
        <v>7</v>
      </c>
      <c r="L132" s="61">
        <f>K132+1</f>
        <v>8</v>
      </c>
      <c r="M132" s="61">
        <f t="shared" si="14"/>
        <v>9</v>
      </c>
      <c r="N132" s="61">
        <f t="shared" si="14"/>
        <v>10</v>
      </c>
      <c r="O132" s="61">
        <f t="shared" si="14"/>
        <v>11</v>
      </c>
      <c r="P132" s="61">
        <f t="shared" si="14"/>
        <v>12</v>
      </c>
      <c r="Q132" s="61">
        <f t="shared" si="14"/>
        <v>13</v>
      </c>
      <c r="R132" s="61">
        <f t="shared" si="14"/>
        <v>14</v>
      </c>
      <c r="S132" s="61">
        <f t="shared" si="14"/>
        <v>15</v>
      </c>
      <c r="T132" s="61">
        <f t="shared" si="14"/>
        <v>16</v>
      </c>
      <c r="U132" s="61">
        <f t="shared" si="14"/>
        <v>17</v>
      </c>
      <c r="V132" s="61">
        <f t="shared" si="14"/>
        <v>18</v>
      </c>
      <c r="W132" s="61">
        <f t="shared" si="14"/>
        <v>19</v>
      </c>
      <c r="X132" s="61">
        <f t="shared" si="14"/>
        <v>20</v>
      </c>
    </row>
    <row r="133" spans="1:24" ht="15" thickBot="1" x14ac:dyDescent="0.35">
      <c r="A133" s="411" t="s">
        <v>135</v>
      </c>
      <c r="B133" s="412"/>
      <c r="C133" s="412"/>
      <c r="D133" s="413"/>
      <c r="E133" s="57"/>
      <c r="F133" s="56"/>
      <c r="G133" s="56"/>
      <c r="H133" s="56"/>
      <c r="I133" s="56"/>
      <c r="J133" s="56"/>
      <c r="K133" s="56"/>
      <c r="L133" s="56"/>
      <c r="M133" s="56"/>
      <c r="N133" s="67"/>
      <c r="O133" s="67"/>
      <c r="P133" s="56"/>
      <c r="Q133" s="56"/>
      <c r="R133" s="56"/>
      <c r="S133" s="56"/>
      <c r="T133" s="56"/>
      <c r="U133" s="56"/>
      <c r="V133" s="56"/>
      <c r="W133" s="56"/>
      <c r="X133" s="56"/>
    </row>
    <row r="134" spans="1:24" ht="38.25" customHeight="1" thickBot="1" x14ac:dyDescent="0.35">
      <c r="A134" s="140" t="s">
        <v>437</v>
      </c>
      <c r="B134" s="414" t="s">
        <v>136</v>
      </c>
      <c r="C134" s="393" t="s">
        <v>349</v>
      </c>
      <c r="D134" s="23" t="s">
        <v>95</v>
      </c>
      <c r="E134" s="153">
        <f>+'B5 Year 1 SaaS&amp;AMI Network Srv'!K7</f>
        <v>0</v>
      </c>
      <c r="F134" s="153">
        <f>+'B5 Year 1 SaaS&amp;AMI Network Srv'!M7</f>
        <v>0</v>
      </c>
      <c r="G134" s="153">
        <f>+'B5 Year 1 SaaS&amp;AMI Network Srv'!O7</f>
        <v>0</v>
      </c>
      <c r="H134" s="153">
        <f>+'B5 Year 1 SaaS&amp;AMI Network Srv'!Q7</f>
        <v>0</v>
      </c>
      <c r="I134" s="153">
        <f>+'B5 Year 1 SaaS&amp;AMI Network Srv'!S7</f>
        <v>0</v>
      </c>
      <c r="J134" s="153">
        <f>I134*(1+$J$12)</f>
        <v>0</v>
      </c>
      <c r="K134" s="153">
        <f t="shared" ref="K134:X134" si="15">J134*(1+$J$12)</f>
        <v>0</v>
      </c>
      <c r="L134" s="153">
        <f t="shared" si="15"/>
        <v>0</v>
      </c>
      <c r="M134" s="153">
        <f t="shared" si="15"/>
        <v>0</v>
      </c>
      <c r="N134" s="153">
        <f t="shared" si="15"/>
        <v>0</v>
      </c>
      <c r="O134" s="153">
        <f t="shared" si="15"/>
        <v>0</v>
      </c>
      <c r="P134" s="153">
        <f t="shared" si="15"/>
        <v>0</v>
      </c>
      <c r="Q134" s="153">
        <f t="shared" si="15"/>
        <v>0</v>
      </c>
      <c r="R134" s="153">
        <f t="shared" si="15"/>
        <v>0</v>
      </c>
      <c r="S134" s="153">
        <f t="shared" si="15"/>
        <v>0</v>
      </c>
      <c r="T134" s="153">
        <f t="shared" si="15"/>
        <v>0</v>
      </c>
      <c r="U134" s="153">
        <f t="shared" si="15"/>
        <v>0</v>
      </c>
      <c r="V134" s="153">
        <f t="shared" si="15"/>
        <v>0</v>
      </c>
      <c r="W134" s="153">
        <f t="shared" si="15"/>
        <v>0</v>
      </c>
      <c r="X134" s="153">
        <f t="shared" si="15"/>
        <v>0</v>
      </c>
    </row>
    <row r="135" spans="1:24" ht="51.75" customHeight="1" thickBot="1" x14ac:dyDescent="0.35">
      <c r="A135" s="140" t="s">
        <v>438</v>
      </c>
      <c r="B135" s="414"/>
      <c r="C135" s="394"/>
      <c r="D135" s="84" t="s">
        <v>260</v>
      </c>
      <c r="E135" s="153">
        <f>+'B5 Year 1 SaaS&amp;AMI Network Srv'!K8</f>
        <v>0</v>
      </c>
      <c r="F135" s="153">
        <f>+'B5 Year 1 SaaS&amp;AMI Network Srv'!M8</f>
        <v>0</v>
      </c>
      <c r="G135" s="153">
        <f>+'B5 Year 1 SaaS&amp;AMI Network Srv'!O8</f>
        <v>0</v>
      </c>
      <c r="H135" s="153">
        <f>+'B5 Year 1 SaaS&amp;AMI Network Srv'!Q8</f>
        <v>0</v>
      </c>
      <c r="I135" s="153">
        <f>+'B5 Year 1 SaaS&amp;AMI Network Srv'!S8</f>
        <v>0</v>
      </c>
      <c r="J135" s="153">
        <f>+I135*(1+$J$12)</f>
        <v>0</v>
      </c>
      <c r="K135" s="153">
        <f t="shared" ref="K135:X135" si="16">+J135*(1+$J$12)</f>
        <v>0</v>
      </c>
      <c r="L135" s="153">
        <f t="shared" si="16"/>
        <v>0</v>
      </c>
      <c r="M135" s="153">
        <f t="shared" si="16"/>
        <v>0</v>
      </c>
      <c r="N135" s="153">
        <f t="shared" si="16"/>
        <v>0</v>
      </c>
      <c r="O135" s="153">
        <f t="shared" si="16"/>
        <v>0</v>
      </c>
      <c r="P135" s="153">
        <f t="shared" si="16"/>
        <v>0</v>
      </c>
      <c r="Q135" s="153">
        <f t="shared" si="16"/>
        <v>0</v>
      </c>
      <c r="R135" s="153">
        <f t="shared" si="16"/>
        <v>0</v>
      </c>
      <c r="S135" s="153">
        <f t="shared" si="16"/>
        <v>0</v>
      </c>
      <c r="T135" s="153">
        <f t="shared" si="16"/>
        <v>0</v>
      </c>
      <c r="U135" s="153">
        <f t="shared" si="16"/>
        <v>0</v>
      </c>
      <c r="V135" s="153">
        <f t="shared" si="16"/>
        <v>0</v>
      </c>
      <c r="W135" s="153">
        <f t="shared" si="16"/>
        <v>0</v>
      </c>
      <c r="X135" s="153">
        <f t="shared" si="16"/>
        <v>0</v>
      </c>
    </row>
    <row r="136" spans="1:24" ht="72.599999999999994" thickBot="1" x14ac:dyDescent="0.35">
      <c r="A136" s="140" t="s">
        <v>439</v>
      </c>
      <c r="B136" s="140" t="s">
        <v>136</v>
      </c>
      <c r="C136" s="188" t="s">
        <v>347</v>
      </c>
      <c r="D136" s="33" t="s">
        <v>87</v>
      </c>
      <c r="E136" s="153">
        <f>+'B5 Year 1 SaaS&amp;AMI Network Srv'!K9</f>
        <v>0</v>
      </c>
      <c r="F136" s="153">
        <f>+'B5 Year 1 SaaS&amp;AMI Network Srv'!M9</f>
        <v>0</v>
      </c>
      <c r="G136" s="153">
        <f>+'B5 Year 1 SaaS&amp;AMI Network Srv'!O9</f>
        <v>0</v>
      </c>
      <c r="H136" s="153">
        <f>+'B5 Year 1 SaaS&amp;AMI Network Srv'!Q9</f>
        <v>0</v>
      </c>
      <c r="I136" s="153">
        <f>+'B5 Year 1 SaaS&amp;AMI Network Srv'!S9</f>
        <v>0</v>
      </c>
      <c r="J136" s="153">
        <f>+I136*(1+$J$13)</f>
        <v>0</v>
      </c>
      <c r="K136" s="153">
        <f t="shared" ref="K136:X136" si="17">+J136*(1+$J$13)</f>
        <v>0</v>
      </c>
      <c r="L136" s="153">
        <f t="shared" si="17"/>
        <v>0</v>
      </c>
      <c r="M136" s="153">
        <f t="shared" si="17"/>
        <v>0</v>
      </c>
      <c r="N136" s="153">
        <f t="shared" si="17"/>
        <v>0</v>
      </c>
      <c r="O136" s="153">
        <f t="shared" si="17"/>
        <v>0</v>
      </c>
      <c r="P136" s="153">
        <f t="shared" si="17"/>
        <v>0</v>
      </c>
      <c r="Q136" s="153">
        <f t="shared" si="17"/>
        <v>0</v>
      </c>
      <c r="R136" s="153">
        <f t="shared" si="17"/>
        <v>0</v>
      </c>
      <c r="S136" s="153">
        <f t="shared" si="17"/>
        <v>0</v>
      </c>
      <c r="T136" s="153">
        <f t="shared" si="17"/>
        <v>0</v>
      </c>
      <c r="U136" s="153">
        <f t="shared" si="17"/>
        <v>0</v>
      </c>
      <c r="V136" s="153">
        <f t="shared" si="17"/>
        <v>0</v>
      </c>
      <c r="W136" s="153">
        <f t="shared" si="17"/>
        <v>0</v>
      </c>
      <c r="X136" s="153">
        <f t="shared" si="17"/>
        <v>0</v>
      </c>
    </row>
    <row r="137" spans="1:24" ht="57.75" customHeight="1" thickBot="1" x14ac:dyDescent="0.35">
      <c r="A137" s="140" t="s">
        <v>440</v>
      </c>
      <c r="B137" s="140" t="s">
        <v>136</v>
      </c>
      <c r="C137" s="32" t="s">
        <v>350</v>
      </c>
      <c r="D137" s="9" t="s">
        <v>87</v>
      </c>
      <c r="E137" s="153">
        <f>+'B5 Year 1 SaaS&amp;AMI Network Srv'!K10</f>
        <v>0</v>
      </c>
      <c r="F137" s="153">
        <f>+'B5 Year 1 SaaS&amp;AMI Network Srv'!M10</f>
        <v>0</v>
      </c>
      <c r="G137" s="153">
        <f>+'B5 Year 1 SaaS&amp;AMI Network Srv'!O10</f>
        <v>0</v>
      </c>
      <c r="H137" s="153">
        <f>+'B5 Year 1 SaaS&amp;AMI Network Srv'!Q10</f>
        <v>0</v>
      </c>
      <c r="I137" s="153">
        <f>+'B5 Year 1 SaaS&amp;AMI Network Srv'!S10</f>
        <v>0</v>
      </c>
      <c r="J137" s="153">
        <f>+I137*(1+$J$13)</f>
        <v>0</v>
      </c>
      <c r="K137" s="153">
        <f t="shared" ref="K137:X137" si="18">+J137*(1+$J$13)</f>
        <v>0</v>
      </c>
      <c r="L137" s="153">
        <f t="shared" si="18"/>
        <v>0</v>
      </c>
      <c r="M137" s="153">
        <f t="shared" si="18"/>
        <v>0</v>
      </c>
      <c r="N137" s="153">
        <f t="shared" si="18"/>
        <v>0</v>
      </c>
      <c r="O137" s="153">
        <f t="shared" si="18"/>
        <v>0</v>
      </c>
      <c r="P137" s="153">
        <f t="shared" si="18"/>
        <v>0</v>
      </c>
      <c r="Q137" s="153">
        <f t="shared" si="18"/>
        <v>0</v>
      </c>
      <c r="R137" s="153">
        <f t="shared" si="18"/>
        <v>0</v>
      </c>
      <c r="S137" s="153">
        <f t="shared" si="18"/>
        <v>0</v>
      </c>
      <c r="T137" s="153">
        <f t="shared" si="18"/>
        <v>0</v>
      </c>
      <c r="U137" s="153">
        <f t="shared" si="18"/>
        <v>0</v>
      </c>
      <c r="V137" s="153">
        <f t="shared" si="18"/>
        <v>0</v>
      </c>
      <c r="W137" s="153">
        <f t="shared" si="18"/>
        <v>0</v>
      </c>
      <c r="X137" s="153">
        <f t="shared" si="18"/>
        <v>0</v>
      </c>
    </row>
    <row r="138" spans="1:24" ht="50.25" customHeight="1" thickBot="1" x14ac:dyDescent="0.35">
      <c r="A138" s="140" t="s">
        <v>441</v>
      </c>
      <c r="B138" s="140" t="s">
        <v>136</v>
      </c>
      <c r="C138" s="188" t="s">
        <v>348</v>
      </c>
      <c r="D138" s="9" t="s">
        <v>87</v>
      </c>
      <c r="E138" s="153">
        <f>+'B5 Year 1 SaaS&amp;AMI Network Srv'!K11</f>
        <v>0</v>
      </c>
      <c r="F138" s="153">
        <f>+'B5 Year 1 SaaS&amp;AMI Network Srv'!M11</f>
        <v>0</v>
      </c>
      <c r="G138" s="153">
        <f>+'B5 Year 1 SaaS&amp;AMI Network Srv'!O11</f>
        <v>0</v>
      </c>
      <c r="H138" s="153">
        <f>+'B5 Year 1 SaaS&amp;AMI Network Srv'!Q11</f>
        <v>0</v>
      </c>
      <c r="I138" s="153">
        <f>+'B5 Year 1 SaaS&amp;AMI Network Srv'!S11</f>
        <v>0</v>
      </c>
      <c r="J138" s="153">
        <f>+I138*(1+$J$13)</f>
        <v>0</v>
      </c>
      <c r="K138" s="153">
        <f t="shared" ref="K138:X138" si="19">+J138*(1+$J$13)</f>
        <v>0</v>
      </c>
      <c r="L138" s="153">
        <f t="shared" si="19"/>
        <v>0</v>
      </c>
      <c r="M138" s="153">
        <f t="shared" si="19"/>
        <v>0</v>
      </c>
      <c r="N138" s="153">
        <f t="shared" si="19"/>
        <v>0</v>
      </c>
      <c r="O138" s="153">
        <f t="shared" si="19"/>
        <v>0</v>
      </c>
      <c r="P138" s="153">
        <f t="shared" si="19"/>
        <v>0</v>
      </c>
      <c r="Q138" s="153">
        <f t="shared" si="19"/>
        <v>0</v>
      </c>
      <c r="R138" s="153">
        <f t="shared" si="19"/>
        <v>0</v>
      </c>
      <c r="S138" s="153">
        <f t="shared" si="19"/>
        <v>0</v>
      </c>
      <c r="T138" s="153">
        <f t="shared" si="19"/>
        <v>0</v>
      </c>
      <c r="U138" s="153">
        <f t="shared" si="19"/>
        <v>0</v>
      </c>
      <c r="V138" s="153">
        <f t="shared" si="19"/>
        <v>0</v>
      </c>
      <c r="W138" s="153">
        <f t="shared" si="19"/>
        <v>0</v>
      </c>
      <c r="X138" s="153">
        <f t="shared" si="19"/>
        <v>0</v>
      </c>
    </row>
    <row r="139" spans="1:24" ht="15" thickBot="1" x14ac:dyDescent="0.35">
      <c r="A139" s="58"/>
      <c r="B139" s="39"/>
      <c r="C139" s="39"/>
      <c r="D139" s="40" t="s">
        <v>137</v>
      </c>
      <c r="E139" s="59">
        <f t="shared" ref="E139:X139" si="20">SUM(E134:E138)</f>
        <v>0</v>
      </c>
      <c r="F139" s="59">
        <f t="shared" si="20"/>
        <v>0</v>
      </c>
      <c r="G139" s="59">
        <f t="shared" si="20"/>
        <v>0</v>
      </c>
      <c r="H139" s="59">
        <f t="shared" si="20"/>
        <v>0</v>
      </c>
      <c r="I139" s="59">
        <f t="shared" si="20"/>
        <v>0</v>
      </c>
      <c r="J139" s="59">
        <f t="shared" si="20"/>
        <v>0</v>
      </c>
      <c r="K139" s="59">
        <f t="shared" si="20"/>
        <v>0</v>
      </c>
      <c r="L139" s="59">
        <f t="shared" si="20"/>
        <v>0</v>
      </c>
      <c r="M139" s="59">
        <f t="shared" si="20"/>
        <v>0</v>
      </c>
      <c r="N139" s="59">
        <f t="shared" si="20"/>
        <v>0</v>
      </c>
      <c r="O139" s="59">
        <f t="shared" si="20"/>
        <v>0</v>
      </c>
      <c r="P139" s="59">
        <f t="shared" si="20"/>
        <v>0</v>
      </c>
      <c r="Q139" s="59">
        <f t="shared" si="20"/>
        <v>0</v>
      </c>
      <c r="R139" s="59">
        <f t="shared" si="20"/>
        <v>0</v>
      </c>
      <c r="S139" s="59">
        <f t="shared" si="20"/>
        <v>0</v>
      </c>
      <c r="T139" s="59">
        <f t="shared" si="20"/>
        <v>0</v>
      </c>
      <c r="U139" s="59">
        <f t="shared" si="20"/>
        <v>0</v>
      </c>
      <c r="V139" s="59">
        <f t="shared" si="20"/>
        <v>0</v>
      </c>
      <c r="W139" s="59">
        <f t="shared" si="20"/>
        <v>0</v>
      </c>
      <c r="X139" s="59">
        <f t="shared" si="20"/>
        <v>0</v>
      </c>
    </row>
    <row r="140" spans="1:24" ht="16.8" thickTop="1" thickBot="1" x14ac:dyDescent="0.35">
      <c r="A140" s="58"/>
      <c r="B140" s="6" t="s">
        <v>138</v>
      </c>
      <c r="C140" s="208">
        <v>5.5E-2</v>
      </c>
      <c r="D140" s="40" t="s">
        <v>139</v>
      </c>
      <c r="E140" s="154">
        <f t="shared" ref="E140:X140" si="21">E139/(1+$C$140)^E132</f>
        <v>0</v>
      </c>
      <c r="F140" s="154">
        <f t="shared" si="21"/>
        <v>0</v>
      </c>
      <c r="G140" s="154">
        <f t="shared" si="21"/>
        <v>0</v>
      </c>
      <c r="H140" s="154">
        <f t="shared" si="21"/>
        <v>0</v>
      </c>
      <c r="I140" s="154">
        <f t="shared" si="21"/>
        <v>0</v>
      </c>
      <c r="J140" s="154">
        <f t="shared" si="21"/>
        <v>0</v>
      </c>
      <c r="K140" s="154">
        <f t="shared" si="21"/>
        <v>0</v>
      </c>
      <c r="L140" s="154">
        <f t="shared" si="21"/>
        <v>0</v>
      </c>
      <c r="M140" s="154">
        <f t="shared" si="21"/>
        <v>0</v>
      </c>
      <c r="N140" s="154">
        <f t="shared" si="21"/>
        <v>0</v>
      </c>
      <c r="O140" s="154">
        <f t="shared" si="21"/>
        <v>0</v>
      </c>
      <c r="P140" s="154">
        <f t="shared" si="21"/>
        <v>0</v>
      </c>
      <c r="Q140" s="154">
        <f t="shared" si="21"/>
        <v>0</v>
      </c>
      <c r="R140" s="154">
        <f t="shared" si="21"/>
        <v>0</v>
      </c>
      <c r="S140" s="154">
        <f t="shared" si="21"/>
        <v>0</v>
      </c>
      <c r="T140" s="154">
        <f t="shared" si="21"/>
        <v>0</v>
      </c>
      <c r="U140" s="154">
        <f t="shared" si="21"/>
        <v>0</v>
      </c>
      <c r="V140" s="154">
        <f t="shared" si="21"/>
        <v>0</v>
      </c>
      <c r="W140" s="154">
        <f t="shared" si="21"/>
        <v>0</v>
      </c>
      <c r="X140" s="154">
        <f t="shared" si="21"/>
        <v>0</v>
      </c>
    </row>
    <row r="141" spans="1:24" ht="24" thickBot="1" x14ac:dyDescent="0.5">
      <c r="D141" s="62" t="s">
        <v>588</v>
      </c>
      <c r="E141" s="218">
        <f>SUM(E139:I139)</f>
        <v>0</v>
      </c>
      <c r="F141" s="219" t="str">
        <f>+"Transfer the total for Years 1 - 5 to B Pricing Form Summary"</f>
        <v>Transfer the total for Years 1 - 5 to B Pricing Form Summary</v>
      </c>
      <c r="G141" s="211"/>
      <c r="H141" s="211"/>
      <c r="I141" s="211"/>
    </row>
    <row r="142" spans="1:24" ht="24.6" thickTop="1" thickBot="1" x14ac:dyDescent="0.5">
      <c r="D142" s="62" t="s">
        <v>589</v>
      </c>
      <c r="E142" s="218">
        <f>SUM(J139:X139)</f>
        <v>0</v>
      </c>
      <c r="F142" s="219" t="str">
        <f>+"Transfer the total for Years 6-20 to B Pricing Form Summary"</f>
        <v>Transfer the total for Years 6-20 to B Pricing Form Summary</v>
      </c>
      <c r="G142" s="211"/>
      <c r="H142" s="211"/>
      <c r="I142" s="211"/>
    </row>
    <row r="143" spans="1:24" ht="24.6" thickTop="1" thickBot="1" x14ac:dyDescent="0.5">
      <c r="E143" s="41" t="s">
        <v>507</v>
      </c>
    </row>
    <row r="144" spans="1:24" ht="16.2" thickBot="1" x14ac:dyDescent="0.35">
      <c r="A144" s="95" t="s">
        <v>46</v>
      </c>
      <c r="B144" s="95" t="s">
        <v>91</v>
      </c>
      <c r="C144" s="96" t="s">
        <v>48</v>
      </c>
      <c r="D144" s="96" t="s">
        <v>463</v>
      </c>
      <c r="E144" s="54">
        <v>1</v>
      </c>
      <c r="F144" s="61">
        <v>2</v>
      </c>
      <c r="G144" s="61">
        <f t="shared" ref="G144" si="22">F144+1</f>
        <v>3</v>
      </c>
      <c r="H144" s="61">
        <f t="shared" ref="H144" si="23">G144+1</f>
        <v>4</v>
      </c>
      <c r="I144" s="61">
        <f t="shared" ref="I144" si="24">H144+1</f>
        <v>5</v>
      </c>
      <c r="J144" s="61">
        <f t="shared" ref="J144" si="25">I144+1</f>
        <v>6</v>
      </c>
      <c r="K144" s="61">
        <f t="shared" ref="K144" si="26">J144+1</f>
        <v>7</v>
      </c>
      <c r="L144" s="61">
        <f>K144+1</f>
        <v>8</v>
      </c>
      <c r="M144" s="61">
        <f t="shared" ref="M144" si="27">L144+1</f>
        <v>9</v>
      </c>
      <c r="N144" s="61">
        <f t="shared" ref="N144" si="28">M144+1</f>
        <v>10</v>
      </c>
      <c r="O144" s="61">
        <f t="shared" ref="O144" si="29">N144+1</f>
        <v>11</v>
      </c>
      <c r="P144" s="61">
        <f t="shared" ref="P144" si="30">O144+1</f>
        <v>12</v>
      </c>
      <c r="Q144" s="61">
        <f t="shared" ref="Q144" si="31">P144+1</f>
        <v>13</v>
      </c>
      <c r="R144" s="61">
        <f t="shared" ref="R144" si="32">Q144+1</f>
        <v>14</v>
      </c>
      <c r="S144" s="61">
        <f t="shared" ref="S144" si="33">R144+1</f>
        <v>15</v>
      </c>
      <c r="T144" s="61">
        <f t="shared" ref="T144" si="34">S144+1</f>
        <v>16</v>
      </c>
      <c r="U144" s="61">
        <f t="shared" ref="U144" si="35">T144+1</f>
        <v>17</v>
      </c>
      <c r="V144" s="61">
        <f t="shared" ref="V144" si="36">U144+1</f>
        <v>18</v>
      </c>
      <c r="W144" s="61">
        <f t="shared" ref="W144" si="37">V144+1</f>
        <v>19</v>
      </c>
      <c r="X144" s="61">
        <f t="shared" ref="X144" si="38">W144+1</f>
        <v>20</v>
      </c>
    </row>
    <row r="145" spans="1:24" ht="81.75" customHeight="1" thickBot="1" x14ac:dyDescent="0.35">
      <c r="A145" s="140" t="s">
        <v>442</v>
      </c>
      <c r="B145" s="140" t="s">
        <v>476</v>
      </c>
      <c r="C145" s="188" t="s">
        <v>462</v>
      </c>
      <c r="D145" s="204">
        <v>180</v>
      </c>
      <c r="E145" s="153">
        <f>((I17*$D$145)*'B Meter and Radio Assumptions'!$F$8)</f>
        <v>0</v>
      </c>
      <c r="F145" s="153">
        <f>((I18*$D$145)*'B Meter and Radio Assumptions'!$F$8)*(1+$C$154)^F144</f>
        <v>0</v>
      </c>
      <c r="G145" s="153">
        <f>((I19*$D$145)*'B Meter and Radio Assumptions'!$F$8)*(1+$C$154)^G144</f>
        <v>0</v>
      </c>
      <c r="H145" s="153">
        <f>((I20*$D$145)*'B Meter and Radio Assumptions'!$F$8)*(1+$C$154)^H144</f>
        <v>0</v>
      </c>
      <c r="I145" s="153">
        <f>((I21*$D$145)*'B Meter and Radio Assumptions'!$F$8)*(1+$C$154)^I144</f>
        <v>0</v>
      </c>
      <c r="J145" s="153">
        <f>((I22*$D$145)*'B Meter and Radio Assumptions'!$F$8)*(1+$C$154)^J144</f>
        <v>0</v>
      </c>
      <c r="K145" s="153">
        <f>((I23*$D$145)*'B Meter and Radio Assumptions'!$F$8)*(1+$C$154)^K144</f>
        <v>0</v>
      </c>
      <c r="L145" s="153">
        <f>((I24*$D$145)*'B Meter and Radio Assumptions'!$F$8)*(1+$C$154)^L144</f>
        <v>0</v>
      </c>
      <c r="M145" s="153">
        <f>((I25*$D$145)*'B Meter and Radio Assumptions'!$F$8)*(1+$C$154)^M144</f>
        <v>0</v>
      </c>
      <c r="N145" s="153">
        <f>((I26*$D$145)*'B Meter and Radio Assumptions'!$F$8)*(1+$C$154)^N144</f>
        <v>0</v>
      </c>
      <c r="O145" s="153">
        <f>((I27*$D$145)*'B Meter and Radio Assumptions'!$F$8)*(1+$C$154)^O144</f>
        <v>0</v>
      </c>
      <c r="P145" s="153">
        <f>((I28*$D$145)*'B Meter and Radio Assumptions'!$F$8)*(1+$C$154)^P144</f>
        <v>0</v>
      </c>
      <c r="Q145" s="153">
        <f>((I29*$D$145)*'B Meter and Radio Assumptions'!$F$8)*(1+$C$154)^Q144</f>
        <v>0</v>
      </c>
      <c r="R145" s="153">
        <f>((I30*$D$145)*'B Meter and Radio Assumptions'!$F$8)*(1+$C$154)^R144</f>
        <v>0</v>
      </c>
      <c r="S145" s="153">
        <f>((I31*$D$145)*'B Meter and Radio Assumptions'!$F$8)*(1+$C$154)^S144</f>
        <v>0</v>
      </c>
      <c r="T145" s="153">
        <f>((I32*$D$145)*'B Meter and Radio Assumptions'!$F$8)*(1+$C$154)^T144</f>
        <v>0</v>
      </c>
      <c r="U145" s="153">
        <f>((I33*$D$145)*'B Meter and Radio Assumptions'!$F$8)*(1+$C$154)^U144</f>
        <v>0</v>
      </c>
      <c r="V145" s="153">
        <f>((I34*$D$145)*'B Meter and Radio Assumptions'!$F$8)*(1+$C$154)^V144</f>
        <v>0</v>
      </c>
      <c r="W145" s="153">
        <f>((I35*$D$145)*'B Meter and Radio Assumptions'!$F$8)*(1+$C$154)^W144</f>
        <v>0</v>
      </c>
      <c r="X145" s="153">
        <f>((I36*$D$145)*'B Meter and Radio Assumptions'!$F$8)*(1+$C$154)^X144</f>
        <v>0</v>
      </c>
    </row>
    <row r="146" spans="1:24" ht="81.75" customHeight="1" thickBot="1" x14ac:dyDescent="0.35">
      <c r="A146" s="140" t="s">
        <v>443</v>
      </c>
      <c r="B146" s="140" t="s">
        <v>476</v>
      </c>
      <c r="C146" s="188" t="s">
        <v>469</v>
      </c>
      <c r="D146" s="204">
        <v>180</v>
      </c>
      <c r="E146" s="153">
        <f>I17*$D$146</f>
        <v>0</v>
      </c>
      <c r="F146" s="153">
        <f>(I18*$D$146)*(1+$C$154)^F144</f>
        <v>0</v>
      </c>
      <c r="G146" s="153">
        <f>(I19*$D$146)*(1+$C$154)^G144</f>
        <v>0</v>
      </c>
      <c r="H146" s="153">
        <f>(I20*$D$146)*(1+$C$154)^H144</f>
        <v>0</v>
      </c>
      <c r="I146" s="153">
        <f>(I21*$D$146)*(1+$C$154)^I144</f>
        <v>0</v>
      </c>
      <c r="J146" s="153">
        <f>(I22*$D$146)*(1+$C$154)^J144</f>
        <v>0</v>
      </c>
      <c r="K146" s="153">
        <f>(I23*$D$146)*(1+$C$154)^K144</f>
        <v>0</v>
      </c>
      <c r="L146" s="153">
        <f>(I24*$D$146)*(1+$C$154)^L144</f>
        <v>0</v>
      </c>
      <c r="M146" s="153">
        <f>(I25*$D$146)*(1+$C$154)^M144</f>
        <v>0</v>
      </c>
      <c r="N146" s="153">
        <f>(I26*$D$146)*(1+$C$154)^N144</f>
        <v>0</v>
      </c>
      <c r="O146" s="153">
        <f>(I27*$D$146)*(1+$C$154)^O144</f>
        <v>0</v>
      </c>
      <c r="P146" s="153">
        <f>(I28*$D$146)*(1+$C$154)^P144</f>
        <v>0</v>
      </c>
      <c r="Q146" s="153">
        <f>(I29*$D$146)*(1+$C$154)^Q144</f>
        <v>0</v>
      </c>
      <c r="R146" s="153">
        <f>(I30*$D$146)*(1+$C$154)^R144</f>
        <v>0</v>
      </c>
      <c r="S146" s="153">
        <f>(I31*$D$146)*(1+$C$154)^S144</f>
        <v>0</v>
      </c>
      <c r="T146" s="153">
        <f>(I32*$D$146)*(1+$C$154)^T144</f>
        <v>0</v>
      </c>
      <c r="U146" s="153">
        <f>(I33*$D$146)*(1+$C$154)^U144</f>
        <v>0</v>
      </c>
      <c r="V146" s="153">
        <f>(I34*$D$146)*(1+$C$154)^V144</f>
        <v>0</v>
      </c>
      <c r="W146" s="153">
        <f>(I35*$D$146)*(1+$C$154)^W144</f>
        <v>0</v>
      </c>
      <c r="X146" s="153">
        <f>(I36*$D$146)*(1+$C$154)^X144</f>
        <v>0</v>
      </c>
    </row>
    <row r="147" spans="1:24" ht="81.75" customHeight="1" thickBot="1" x14ac:dyDescent="0.35">
      <c r="A147" s="140" t="s">
        <v>444</v>
      </c>
      <c r="B147" s="140" t="s">
        <v>476</v>
      </c>
      <c r="C147" s="188" t="s">
        <v>464</v>
      </c>
      <c r="D147" s="204">
        <v>180</v>
      </c>
      <c r="E147" s="153">
        <f>I48*$D$147</f>
        <v>0</v>
      </c>
      <c r="F147" s="153">
        <f>(I49*$D$147)*(1+$C$154)^F144</f>
        <v>0</v>
      </c>
      <c r="G147" s="153">
        <f>(I50*$D$147)*(1+$C$154)^G144</f>
        <v>0</v>
      </c>
      <c r="H147" s="153">
        <f>(I51*$D$147)*(1+$C$154)^H144</f>
        <v>0</v>
      </c>
      <c r="I147" s="153">
        <f>(I52*$D$147)*(1+$C$154)^I144</f>
        <v>0</v>
      </c>
      <c r="J147" s="153">
        <f>(I53*$D$147)*(1+$C$154)^J144</f>
        <v>0</v>
      </c>
      <c r="K147" s="153">
        <f>(I54*$D$147)*(1+$C$154)^K144</f>
        <v>0</v>
      </c>
      <c r="L147" s="153">
        <f>(I55*$D$147)*(1+$C$154)^L144</f>
        <v>0</v>
      </c>
      <c r="M147" s="153">
        <f>(I56*$D$147)*(1+$C$154)^M144</f>
        <v>0</v>
      </c>
      <c r="N147" s="153">
        <f>(I57*$D$147)*(1+$C$154)^N144</f>
        <v>0</v>
      </c>
      <c r="O147" s="153">
        <f>(I58*$D$147)*(1+$C$154)^O144</f>
        <v>0</v>
      </c>
      <c r="P147" s="153">
        <f>(I59*$D$147)*(1+$C$154)^P144</f>
        <v>0</v>
      </c>
      <c r="Q147" s="153">
        <f>(I60*$D$147)*(1+$C$154)^Q144</f>
        <v>0</v>
      </c>
      <c r="R147" s="153">
        <f>(I61*$D$147)*(1+$C$154)^R144</f>
        <v>0</v>
      </c>
      <c r="S147" s="153">
        <f>(I62*$D$147)*(1+$C$154)^S144</f>
        <v>0</v>
      </c>
      <c r="T147" s="153">
        <f>(I63*$D$147)*(1+$C$154)^T144</f>
        <v>0</v>
      </c>
      <c r="U147" s="153">
        <f>(I64*$D$147)*(1+$C$154)^U144</f>
        <v>0</v>
      </c>
      <c r="V147" s="153">
        <f>(I65*$D$147)*(1+$C$154)^V144</f>
        <v>0</v>
      </c>
      <c r="W147" s="153">
        <f>(I66*$D$147)*(1+$C$154)^W144</f>
        <v>0</v>
      </c>
      <c r="X147" s="153">
        <f>(I67*$D$147)*(1+$C$154)^X144</f>
        <v>0</v>
      </c>
    </row>
    <row r="148" spans="1:24" ht="81.75" customHeight="1" thickBot="1" x14ac:dyDescent="0.35">
      <c r="A148" s="140" t="s">
        <v>445</v>
      </c>
      <c r="B148" s="140" t="s">
        <v>476</v>
      </c>
      <c r="C148" s="188" t="s">
        <v>465</v>
      </c>
      <c r="D148" s="204">
        <v>240</v>
      </c>
      <c r="E148" s="153">
        <f>I77*$D$148</f>
        <v>0</v>
      </c>
      <c r="F148" s="153">
        <f>(I78*$D$148)*(1+$C$154)^F144</f>
        <v>0</v>
      </c>
      <c r="G148" s="153">
        <f>(I79*$D$148)*(1+$C$154)^G144</f>
        <v>0</v>
      </c>
      <c r="H148" s="153">
        <f>(I80*$D$148)*(1+$C$154)^H144</f>
        <v>0</v>
      </c>
      <c r="I148" s="153">
        <f>(I81*$D$148)*(1+$C$154)^I144</f>
        <v>0</v>
      </c>
      <c r="J148" s="153">
        <f>(I82*$D$148)*(1+$C$154)^J144</f>
        <v>0</v>
      </c>
      <c r="K148" s="153">
        <f>(I83*$D$148)*(1+$C$154)^K144</f>
        <v>0</v>
      </c>
      <c r="L148" s="153">
        <f>(I84*$D$148)*(1+$C$154)^L144</f>
        <v>0</v>
      </c>
      <c r="M148" s="153">
        <f>(I85*$D$148)*(1+$C$154)^M144</f>
        <v>0</v>
      </c>
      <c r="N148" s="153">
        <f>(I86*$D$148)*(1+$C$154)^N144</f>
        <v>0</v>
      </c>
      <c r="O148" s="153">
        <f>(I87*$D$148)*(1+$C$154)^O144</f>
        <v>0</v>
      </c>
      <c r="P148" s="153">
        <f>(I88*$D$148)*(1+$C$154)^P144</f>
        <v>0</v>
      </c>
      <c r="Q148" s="153">
        <f>(I89*$D$148)*(1+$C$154)^Q144</f>
        <v>0</v>
      </c>
      <c r="R148" s="153">
        <f>(I90*$D$148)*(1+$C$154)^R144</f>
        <v>0</v>
      </c>
      <c r="S148" s="153">
        <f>(I91*$D$148)*(1+$C$154)^S144</f>
        <v>0</v>
      </c>
      <c r="T148" s="153">
        <f>(I92*$D$148)*(1+$C$154)^T144</f>
        <v>0</v>
      </c>
      <c r="U148" s="153">
        <f>(I93*$D$148)*(1+$C$154)^U144</f>
        <v>0</v>
      </c>
      <c r="V148" s="153">
        <f>(I94*$D$148)*(1+$C$154)^V144</f>
        <v>0</v>
      </c>
      <c r="W148" s="153">
        <f>(I95*$D$148)*(1+$C$154)^W144</f>
        <v>0</v>
      </c>
      <c r="X148" s="153">
        <f>(I96*$D$148)*(1+$C$154)^X144</f>
        <v>0</v>
      </c>
    </row>
    <row r="149" spans="1:24" ht="81.75" customHeight="1" thickBot="1" x14ac:dyDescent="0.35">
      <c r="A149" s="140" t="s">
        <v>446</v>
      </c>
      <c r="B149" s="140" t="s">
        <v>476</v>
      </c>
      <c r="C149" s="188" t="s">
        <v>466</v>
      </c>
      <c r="D149" s="204">
        <v>1000</v>
      </c>
      <c r="E149" s="153">
        <f>I109*$D$149</f>
        <v>0</v>
      </c>
      <c r="F149" s="153">
        <f>(I110*$D$149)*(1+$C$154)^F144</f>
        <v>0</v>
      </c>
      <c r="G149" s="153">
        <f>(I111*$D$149)*(1+$C$154)^G144</f>
        <v>0</v>
      </c>
      <c r="H149" s="153">
        <f>(I112*$D$149)*(1+$C$154)^H144</f>
        <v>0</v>
      </c>
      <c r="I149" s="153">
        <f>(I113*$D$149)*(1+$C$154)^I144</f>
        <v>0</v>
      </c>
      <c r="J149" s="153">
        <f>(I114*$D$149)*(1+$C$154)^J144</f>
        <v>0</v>
      </c>
      <c r="K149" s="153">
        <f>(I115*$D$149)*(1+$C$154)^K144</f>
        <v>0</v>
      </c>
      <c r="L149" s="153">
        <f>(I116*$D$149)*(1+$C$154)^L144</f>
        <v>0</v>
      </c>
      <c r="M149" s="153">
        <f>(I117*$D$149)*(1+$C$154)^M144</f>
        <v>0</v>
      </c>
      <c r="N149" s="153">
        <f>(I118*$D$149)*(1+$C$154)^N144</f>
        <v>0</v>
      </c>
      <c r="O149" s="153">
        <f>(I119*$D$149)*(1+$C$154)^O144</f>
        <v>0</v>
      </c>
      <c r="P149" s="153">
        <f>(I120*$D$149)*(1+$C$154)^P144</f>
        <v>0</v>
      </c>
      <c r="Q149" s="153">
        <f>(I121*$D$149)*(1+$C$154)^Q144</f>
        <v>0</v>
      </c>
      <c r="R149" s="153">
        <f>(I122*$D$149)*(1+$C$154)^R144</f>
        <v>0</v>
      </c>
      <c r="S149" s="153">
        <f>(I123*$D$149)*(1+$C$154)^S144</f>
        <v>0</v>
      </c>
      <c r="T149" s="153">
        <f>(I124*$D$149)*(1+$C$154)^T144</f>
        <v>0</v>
      </c>
      <c r="U149" s="153">
        <f>(I125*$D$149)*(1+$C$154)^U144</f>
        <v>0</v>
      </c>
      <c r="V149" s="153">
        <f>(I126*$D$149)*(1+$C$154)^V144</f>
        <v>0</v>
      </c>
      <c r="W149" s="153">
        <f>(I127*$D$149)*(1+$C$154)^W144</f>
        <v>0</v>
      </c>
      <c r="X149" s="153">
        <f>(I128*$D$149)*(1+$C$154)^X144</f>
        <v>0</v>
      </c>
    </row>
    <row r="150" spans="1:24" s="63" customFormat="1" ht="16.2" thickBot="1" x14ac:dyDescent="0.35">
      <c r="A150" s="140" t="s">
        <v>447</v>
      </c>
      <c r="B150" s="140" t="s">
        <v>101</v>
      </c>
      <c r="C150" s="140" t="s">
        <v>467</v>
      </c>
      <c r="D150" s="140"/>
      <c r="E150" s="152">
        <f>VLOOKUP(E132,$G$16:$K$36,5,0)</f>
        <v>0</v>
      </c>
      <c r="F150" s="152">
        <f>VLOOKUP(F132,$G$16:$K$36,5,0)</f>
        <v>0</v>
      </c>
      <c r="G150" s="152">
        <f>VLOOKUP(G132,$G$16:$K$36,5,0)</f>
        <v>0</v>
      </c>
      <c r="H150" s="152">
        <f>VLOOKUP(H132,$G$16:$K$36,5,0)</f>
        <v>0</v>
      </c>
      <c r="I150" s="152">
        <f>VLOOKUP(I132,$G$16:$K$36,5,0)</f>
        <v>0</v>
      </c>
      <c r="J150" s="152">
        <f t="shared" ref="J150:X150" si="39">VLOOKUP(J132,$G$16:$K$36,5,0)*(1+$J$11)^J132</f>
        <v>0</v>
      </c>
      <c r="K150" s="152">
        <f t="shared" si="39"/>
        <v>0</v>
      </c>
      <c r="L150" s="152">
        <f t="shared" si="39"/>
        <v>0</v>
      </c>
      <c r="M150" s="152">
        <f t="shared" si="39"/>
        <v>0</v>
      </c>
      <c r="N150" s="152">
        <f t="shared" si="39"/>
        <v>0</v>
      </c>
      <c r="O150" s="152">
        <f t="shared" si="39"/>
        <v>0</v>
      </c>
      <c r="P150" s="152">
        <f t="shared" si="39"/>
        <v>0</v>
      </c>
      <c r="Q150" s="152">
        <f t="shared" si="39"/>
        <v>0</v>
      </c>
      <c r="R150" s="152">
        <f t="shared" si="39"/>
        <v>0</v>
      </c>
      <c r="S150" s="152">
        <f t="shared" si="39"/>
        <v>0</v>
      </c>
      <c r="T150" s="152">
        <f t="shared" si="39"/>
        <v>0</v>
      </c>
      <c r="U150" s="152">
        <f t="shared" si="39"/>
        <v>0</v>
      </c>
      <c r="V150" s="152">
        <f t="shared" si="39"/>
        <v>0</v>
      </c>
      <c r="W150" s="152">
        <f t="shared" si="39"/>
        <v>0</v>
      </c>
      <c r="X150" s="152">
        <f t="shared" si="39"/>
        <v>0</v>
      </c>
    </row>
    <row r="151" spans="1:24" s="63" customFormat="1" ht="16.2" thickBot="1" x14ac:dyDescent="0.35">
      <c r="A151" s="140" t="s">
        <v>448</v>
      </c>
      <c r="B151" s="140" t="s">
        <v>101</v>
      </c>
      <c r="C151" s="140" t="s">
        <v>336</v>
      </c>
      <c r="D151" s="140"/>
      <c r="E151" s="152">
        <f>+VLOOKUP(E$132,$G$48:$K$67,5,0)</f>
        <v>0</v>
      </c>
      <c r="F151" s="152">
        <f>+VLOOKUP(F$132,$G$48:$K$67,5,0)</f>
        <v>0</v>
      </c>
      <c r="G151" s="152">
        <f>+VLOOKUP(G$132,$G$48:$K$67,5,0)</f>
        <v>0</v>
      </c>
      <c r="H151" s="152">
        <f>+VLOOKUP(H$132,$G$48:$K$67,5,0)</f>
        <v>0</v>
      </c>
      <c r="I151" s="152">
        <f>+VLOOKUP(I$132,$G$48:$K$67,5,0)</f>
        <v>0</v>
      </c>
      <c r="J151" s="152">
        <f t="shared" ref="J151:X151" si="40">+VLOOKUP(J$132,$G$48:$K$67,5,0)*(1+$J$11)^J132</f>
        <v>0</v>
      </c>
      <c r="K151" s="152">
        <f t="shared" si="40"/>
        <v>0</v>
      </c>
      <c r="L151" s="152">
        <f t="shared" si="40"/>
        <v>0</v>
      </c>
      <c r="M151" s="152">
        <f t="shared" si="40"/>
        <v>0</v>
      </c>
      <c r="N151" s="152">
        <f t="shared" si="40"/>
        <v>0</v>
      </c>
      <c r="O151" s="152">
        <f t="shared" si="40"/>
        <v>0</v>
      </c>
      <c r="P151" s="152">
        <f t="shared" si="40"/>
        <v>0</v>
      </c>
      <c r="Q151" s="152">
        <f t="shared" si="40"/>
        <v>0</v>
      </c>
      <c r="R151" s="152">
        <f t="shared" si="40"/>
        <v>0</v>
      </c>
      <c r="S151" s="152">
        <f t="shared" si="40"/>
        <v>0</v>
      </c>
      <c r="T151" s="152">
        <f t="shared" si="40"/>
        <v>0</v>
      </c>
      <c r="U151" s="152">
        <f t="shared" si="40"/>
        <v>0</v>
      </c>
      <c r="V151" s="152">
        <f t="shared" si="40"/>
        <v>0</v>
      </c>
      <c r="W151" s="152">
        <f t="shared" si="40"/>
        <v>0</v>
      </c>
      <c r="X151" s="152">
        <f t="shared" si="40"/>
        <v>0</v>
      </c>
    </row>
    <row r="152" spans="1:24" s="63" customFormat="1" ht="16.2" thickBot="1" x14ac:dyDescent="0.35">
      <c r="A152" s="140" t="s">
        <v>449</v>
      </c>
      <c r="B152" s="140" t="s">
        <v>101</v>
      </c>
      <c r="C152" s="140" t="s">
        <v>337</v>
      </c>
      <c r="D152" s="140"/>
      <c r="E152" s="152">
        <f>+VLOOKUP(E$132,$G$77:$K$96,5,0)</f>
        <v>0</v>
      </c>
      <c r="F152" s="152">
        <f>+VLOOKUP(F$132,$G$77:$K$96,5,0)</f>
        <v>0</v>
      </c>
      <c r="G152" s="152">
        <f>+VLOOKUP(G$132,$G$77:$K$96,5,0)</f>
        <v>0</v>
      </c>
      <c r="H152" s="152">
        <f>+VLOOKUP(H$132,$G$77:$K$96,5,0)</f>
        <v>0</v>
      </c>
      <c r="I152" s="152">
        <f>+VLOOKUP(I$132,$G$77:$K$96,5,0)</f>
        <v>0</v>
      </c>
      <c r="J152" s="152">
        <f t="shared" ref="J152:X152" si="41">+VLOOKUP(J$144,$G$77:$K$96,5,0)*(1+$J$11)^J144</f>
        <v>0</v>
      </c>
      <c r="K152" s="152">
        <f t="shared" si="41"/>
        <v>0</v>
      </c>
      <c r="L152" s="152">
        <f t="shared" si="41"/>
        <v>0</v>
      </c>
      <c r="M152" s="152">
        <f t="shared" si="41"/>
        <v>0</v>
      </c>
      <c r="N152" s="152">
        <f t="shared" si="41"/>
        <v>0</v>
      </c>
      <c r="O152" s="152">
        <f t="shared" si="41"/>
        <v>0</v>
      </c>
      <c r="P152" s="152">
        <f t="shared" si="41"/>
        <v>0</v>
      </c>
      <c r="Q152" s="152">
        <f t="shared" si="41"/>
        <v>0</v>
      </c>
      <c r="R152" s="152">
        <f t="shared" si="41"/>
        <v>0</v>
      </c>
      <c r="S152" s="152">
        <f t="shared" si="41"/>
        <v>0</v>
      </c>
      <c r="T152" s="152">
        <f t="shared" si="41"/>
        <v>0</v>
      </c>
      <c r="U152" s="152">
        <f t="shared" si="41"/>
        <v>0</v>
      </c>
      <c r="V152" s="152">
        <f t="shared" si="41"/>
        <v>0</v>
      </c>
      <c r="W152" s="152">
        <f t="shared" si="41"/>
        <v>0</v>
      </c>
      <c r="X152" s="152">
        <f t="shared" si="41"/>
        <v>0</v>
      </c>
    </row>
    <row r="153" spans="1:24" s="63" customFormat="1" ht="16.2" thickBot="1" x14ac:dyDescent="0.35">
      <c r="A153" s="140" t="s">
        <v>450</v>
      </c>
      <c r="B153" s="140" t="s">
        <v>101</v>
      </c>
      <c r="C153" s="140" t="s">
        <v>338</v>
      </c>
      <c r="D153" s="140"/>
      <c r="E153" s="152">
        <f>+VLOOKUP(E$144,$G$109:$K$128,5,0)</f>
        <v>0</v>
      </c>
      <c r="F153" s="152">
        <f>+VLOOKUP(F$144,$G$109:$K$128,5,0)</f>
        <v>0</v>
      </c>
      <c r="G153" s="152">
        <f>+VLOOKUP(G$144,$G$109:$K$128,5,0)</f>
        <v>0</v>
      </c>
      <c r="H153" s="152">
        <f>+VLOOKUP(H$144,$G$109:$K$128,5,0)</f>
        <v>0</v>
      </c>
      <c r="I153" s="152">
        <f>+VLOOKUP(I$144,$G$109:$K$128,5,0)</f>
        <v>0</v>
      </c>
      <c r="J153" s="152">
        <f t="shared" ref="J153:X153" si="42">+VLOOKUP(J$144,$G$109:$K$128,5,0)*(1+$J$11)^J144</f>
        <v>0</v>
      </c>
      <c r="K153" s="152">
        <f t="shared" si="42"/>
        <v>0</v>
      </c>
      <c r="L153" s="152">
        <f t="shared" si="42"/>
        <v>0</v>
      </c>
      <c r="M153" s="152">
        <f t="shared" si="42"/>
        <v>0</v>
      </c>
      <c r="N153" s="152">
        <f t="shared" si="42"/>
        <v>0</v>
      </c>
      <c r="O153" s="152">
        <f t="shared" si="42"/>
        <v>0</v>
      </c>
      <c r="P153" s="152">
        <f t="shared" si="42"/>
        <v>0</v>
      </c>
      <c r="Q153" s="152">
        <f t="shared" si="42"/>
        <v>0</v>
      </c>
      <c r="R153" s="152">
        <f t="shared" si="42"/>
        <v>0</v>
      </c>
      <c r="S153" s="152">
        <f t="shared" si="42"/>
        <v>0</v>
      </c>
      <c r="T153" s="152">
        <f t="shared" si="42"/>
        <v>0</v>
      </c>
      <c r="U153" s="152">
        <f t="shared" si="42"/>
        <v>0</v>
      </c>
      <c r="V153" s="152">
        <f t="shared" si="42"/>
        <v>0</v>
      </c>
      <c r="W153" s="152">
        <f t="shared" si="42"/>
        <v>0</v>
      </c>
      <c r="X153" s="152">
        <f t="shared" si="42"/>
        <v>0</v>
      </c>
    </row>
    <row r="154" spans="1:24" ht="16.2" thickBot="1" x14ac:dyDescent="0.35">
      <c r="A154" s="58"/>
      <c r="B154" s="6" t="s">
        <v>459</v>
      </c>
      <c r="C154" s="65">
        <v>0.03</v>
      </c>
      <c r="D154" s="40" t="s">
        <v>137</v>
      </c>
      <c r="E154" s="59">
        <f>SUM(E145:E153)</f>
        <v>0</v>
      </c>
      <c r="F154" s="59">
        <f t="shared" ref="F154:X154" si="43">SUM(F145:F153)</f>
        <v>0</v>
      </c>
      <c r="G154" s="59">
        <f t="shared" si="43"/>
        <v>0</v>
      </c>
      <c r="H154" s="59">
        <f t="shared" si="43"/>
        <v>0</v>
      </c>
      <c r="I154" s="59">
        <f t="shared" si="43"/>
        <v>0</v>
      </c>
      <c r="J154" s="59">
        <f t="shared" si="43"/>
        <v>0</v>
      </c>
      <c r="K154" s="59">
        <f t="shared" si="43"/>
        <v>0</v>
      </c>
      <c r="L154" s="59">
        <f t="shared" si="43"/>
        <v>0</v>
      </c>
      <c r="M154" s="59">
        <f t="shared" si="43"/>
        <v>0</v>
      </c>
      <c r="N154" s="59">
        <f t="shared" si="43"/>
        <v>0</v>
      </c>
      <c r="O154" s="59">
        <f t="shared" si="43"/>
        <v>0</v>
      </c>
      <c r="P154" s="59">
        <f>SUM(P145:P153)</f>
        <v>0</v>
      </c>
      <c r="Q154" s="59">
        <f t="shared" si="43"/>
        <v>0</v>
      </c>
      <c r="R154" s="59">
        <f t="shared" si="43"/>
        <v>0</v>
      </c>
      <c r="S154" s="59">
        <f t="shared" si="43"/>
        <v>0</v>
      </c>
      <c r="T154" s="59">
        <f t="shared" si="43"/>
        <v>0</v>
      </c>
      <c r="U154" s="59">
        <f t="shared" si="43"/>
        <v>0</v>
      </c>
      <c r="V154" s="59">
        <f t="shared" si="43"/>
        <v>0</v>
      </c>
      <c r="W154" s="59">
        <f t="shared" si="43"/>
        <v>0</v>
      </c>
      <c r="X154" s="59">
        <f t="shared" si="43"/>
        <v>0</v>
      </c>
    </row>
    <row r="155" spans="1:24" ht="16.2" thickBot="1" x14ac:dyDescent="0.35">
      <c r="A155" s="58"/>
      <c r="B155" s="6" t="s">
        <v>138</v>
      </c>
      <c r="C155" s="208">
        <v>5.5E-2</v>
      </c>
      <c r="D155" s="40" t="s">
        <v>139</v>
      </c>
      <c r="E155" s="154">
        <f t="shared" ref="E155:X155" si="44">E154/(1+$C$155)^E144</f>
        <v>0</v>
      </c>
      <c r="F155" s="154">
        <f t="shared" si="44"/>
        <v>0</v>
      </c>
      <c r="G155" s="154">
        <f t="shared" si="44"/>
        <v>0</v>
      </c>
      <c r="H155" s="154">
        <f t="shared" si="44"/>
        <v>0</v>
      </c>
      <c r="I155" s="154">
        <f t="shared" si="44"/>
        <v>0</v>
      </c>
      <c r="J155" s="154">
        <f t="shared" si="44"/>
        <v>0</v>
      </c>
      <c r="K155" s="154">
        <f t="shared" si="44"/>
        <v>0</v>
      </c>
      <c r="L155" s="154">
        <f t="shared" si="44"/>
        <v>0</v>
      </c>
      <c r="M155" s="154">
        <f t="shared" si="44"/>
        <v>0</v>
      </c>
      <c r="N155" s="154">
        <f t="shared" si="44"/>
        <v>0</v>
      </c>
      <c r="O155" s="154">
        <f t="shared" si="44"/>
        <v>0</v>
      </c>
      <c r="P155" s="154">
        <f t="shared" si="44"/>
        <v>0</v>
      </c>
      <c r="Q155" s="154">
        <f t="shared" si="44"/>
        <v>0</v>
      </c>
      <c r="R155" s="154">
        <f t="shared" si="44"/>
        <v>0</v>
      </c>
      <c r="S155" s="154">
        <f t="shared" si="44"/>
        <v>0</v>
      </c>
      <c r="T155" s="154">
        <f t="shared" si="44"/>
        <v>0</v>
      </c>
      <c r="U155" s="154">
        <f t="shared" si="44"/>
        <v>0</v>
      </c>
      <c r="V155" s="154">
        <f t="shared" si="44"/>
        <v>0</v>
      </c>
      <c r="W155" s="154">
        <f t="shared" si="44"/>
        <v>0</v>
      </c>
      <c r="X155" s="154">
        <f t="shared" si="44"/>
        <v>0</v>
      </c>
    </row>
    <row r="156" spans="1:24" ht="24" thickBot="1" x14ac:dyDescent="0.5">
      <c r="D156" s="62" t="s">
        <v>587</v>
      </c>
      <c r="E156" s="218">
        <f>SUM(E145:X149)</f>
        <v>0</v>
      </c>
      <c r="F156" s="407" t="str">
        <f>+"Transfer the total for Operational Response Costs to B Pricing Form Summary"</f>
        <v>Transfer the total for Operational Response Costs to B Pricing Form Summary</v>
      </c>
      <c r="G156" s="407"/>
      <c r="H156" s="407"/>
      <c r="I156" s="407"/>
      <c r="J156" s="407"/>
    </row>
    <row r="157" spans="1:24" ht="24.6" thickTop="1" thickBot="1" x14ac:dyDescent="0.5">
      <c r="D157" s="62" t="s">
        <v>460</v>
      </c>
      <c r="E157" s="218">
        <f>SUM(E150:X150)</f>
        <v>0</v>
      </c>
      <c r="F157" s="407" t="str">
        <f>+"Transfer the total for Transmitter Warranty Costs to B Pricing Form Summary"</f>
        <v>Transfer the total for Transmitter Warranty Costs to B Pricing Form Summary</v>
      </c>
      <c r="G157" s="407"/>
      <c r="H157" s="407"/>
      <c r="I157" s="407"/>
      <c r="J157" s="407"/>
    </row>
    <row r="158" spans="1:24" ht="24.6" thickTop="1" thickBot="1" x14ac:dyDescent="0.5">
      <c r="D158" s="62" t="s">
        <v>461</v>
      </c>
      <c r="E158" s="218">
        <f>SUM(E151:X153)</f>
        <v>0</v>
      </c>
      <c r="F158" s="407" t="str">
        <f>+"Transfer the total for Water Meter Warranty Impacts to B Pricing Form Summary"</f>
        <v>Transfer the total for Water Meter Warranty Impacts to B Pricing Form Summary</v>
      </c>
      <c r="G158" s="407"/>
      <c r="H158" s="407"/>
      <c r="I158" s="407"/>
      <c r="J158" s="407"/>
    </row>
    <row r="159" spans="1:24" ht="24.6" thickTop="1" thickBot="1" x14ac:dyDescent="0.5">
      <c r="E159" s="41"/>
    </row>
    <row r="160" spans="1:24" ht="21.75" customHeight="1" thickBot="1" x14ac:dyDescent="0.35">
      <c r="A160" s="316" t="s">
        <v>56</v>
      </c>
      <c r="B160" s="317"/>
      <c r="C160" s="317"/>
      <c r="D160" s="317"/>
      <c r="E160" s="327"/>
      <c r="F160" s="64"/>
      <c r="G160" s="64"/>
      <c r="H160" s="64"/>
      <c r="I160" s="64"/>
      <c r="J160" s="64"/>
    </row>
    <row r="161" spans="1:8" ht="48" customHeight="1" thickBot="1" x14ac:dyDescent="0.35">
      <c r="A161" s="155" t="s">
        <v>451</v>
      </c>
      <c r="B161" s="389"/>
      <c r="C161" s="389"/>
      <c r="D161" s="389"/>
      <c r="E161" s="390"/>
      <c r="H161" s="35"/>
    </row>
    <row r="162" spans="1:8" ht="48" customHeight="1" thickBot="1" x14ac:dyDescent="0.35">
      <c r="A162" s="155" t="s">
        <v>452</v>
      </c>
      <c r="B162" s="391"/>
      <c r="C162" s="391"/>
      <c r="D162" s="391"/>
      <c r="E162" s="392"/>
      <c r="H162" s="35"/>
    </row>
    <row r="163" spans="1:8" ht="48" customHeight="1" thickBot="1" x14ac:dyDescent="0.35">
      <c r="A163" s="155" t="s">
        <v>456</v>
      </c>
      <c r="B163" s="391"/>
      <c r="C163" s="391"/>
      <c r="D163" s="391"/>
      <c r="E163" s="392"/>
      <c r="H163" s="35"/>
    </row>
    <row r="164" spans="1:8" ht="48" customHeight="1" thickBot="1" x14ac:dyDescent="0.35">
      <c r="A164" s="155" t="s">
        <v>470</v>
      </c>
      <c r="B164" s="391"/>
      <c r="C164" s="391"/>
      <c r="D164" s="391"/>
      <c r="E164" s="392"/>
      <c r="H164" s="35"/>
    </row>
    <row r="165" spans="1:8" ht="48" customHeight="1" thickBot="1" x14ac:dyDescent="0.35">
      <c r="A165" s="155" t="s">
        <v>471</v>
      </c>
      <c r="B165" s="391"/>
      <c r="C165" s="391"/>
      <c r="D165" s="391"/>
      <c r="E165" s="392"/>
      <c r="H165" s="35"/>
    </row>
    <row r="166" spans="1:8" ht="48" customHeight="1" thickBot="1" x14ac:dyDescent="0.35">
      <c r="A166" s="155" t="s">
        <v>472</v>
      </c>
      <c r="B166" s="391"/>
      <c r="C166" s="391"/>
      <c r="D166" s="391"/>
      <c r="E166" s="392"/>
      <c r="H166" s="35"/>
    </row>
    <row r="167" spans="1:8" ht="48" customHeight="1" thickBot="1" x14ac:dyDescent="0.35">
      <c r="A167" s="155" t="s">
        <v>473</v>
      </c>
      <c r="B167" s="391"/>
      <c r="C167" s="391"/>
      <c r="D167" s="391"/>
      <c r="E167" s="392"/>
      <c r="H167" s="35"/>
    </row>
    <row r="168" spans="1:8" ht="48" customHeight="1" thickBot="1" x14ac:dyDescent="0.35">
      <c r="A168" s="155" t="s">
        <v>474</v>
      </c>
      <c r="B168" s="391"/>
      <c r="C168" s="391"/>
      <c r="D168" s="391"/>
      <c r="E168" s="392"/>
      <c r="H168" s="35"/>
    </row>
    <row r="169" spans="1:8" ht="48" customHeight="1" thickBot="1" x14ac:dyDescent="0.35">
      <c r="A169" s="155" t="s">
        <v>526</v>
      </c>
      <c r="B169" s="391"/>
      <c r="C169" s="391"/>
      <c r="D169" s="391"/>
      <c r="E169" s="392"/>
      <c r="H169" s="35"/>
    </row>
    <row r="170" spans="1:8" ht="48" customHeight="1" thickBot="1" x14ac:dyDescent="0.35">
      <c r="A170" s="155" t="s">
        <v>527</v>
      </c>
      <c r="B170" s="391"/>
      <c r="C170" s="391"/>
      <c r="D170" s="391"/>
      <c r="E170" s="392"/>
      <c r="H170" s="35"/>
    </row>
  </sheetData>
  <sheetProtection algorithmName="SHA-512" hashValue="hfxgSESLe9AsHPL++t9jlBlt8AQBEQeG+p3B/Fj9vgOugOKN9or6nBfqV35Y4d2KCnRVcC2YAH5eJSC7CWORkA==" saltValue="a+XAUedKlWb6pcwU5F4thw==" spinCount="100000" sheet="1" formatCells="0"/>
  <mergeCells count="49">
    <mergeCell ref="F157:J157"/>
    <mergeCell ref="F158:J158"/>
    <mergeCell ref="F156:J156"/>
    <mergeCell ref="A6:K6"/>
    <mergeCell ref="A38:K38"/>
    <mergeCell ref="C40:C43"/>
    <mergeCell ref="A44:J44"/>
    <mergeCell ref="C8:C9"/>
    <mergeCell ref="A10:J10"/>
    <mergeCell ref="A15:K15"/>
    <mergeCell ref="C17:C36"/>
    <mergeCell ref="C11:I11"/>
    <mergeCell ref="C12:I12"/>
    <mergeCell ref="C13:I13"/>
    <mergeCell ref="A133:D133"/>
    <mergeCell ref="B134:B135"/>
    <mergeCell ref="A46:K46"/>
    <mergeCell ref="C48:C67"/>
    <mergeCell ref="A4:K4"/>
    <mergeCell ref="A5:K5"/>
    <mergeCell ref="A1:D1"/>
    <mergeCell ref="E1:K1"/>
    <mergeCell ref="A2:D2"/>
    <mergeCell ref="E2:K2"/>
    <mergeCell ref="A3:D3"/>
    <mergeCell ref="E3:K3"/>
    <mergeCell ref="C134:C135"/>
    <mergeCell ref="A70:K70"/>
    <mergeCell ref="C72:C73"/>
    <mergeCell ref="A74:J74"/>
    <mergeCell ref="A75:K75"/>
    <mergeCell ref="C77:C96"/>
    <mergeCell ref="A98:K98"/>
    <mergeCell ref="A105:J105"/>
    <mergeCell ref="C100:C103"/>
    <mergeCell ref="A107:K107"/>
    <mergeCell ref="C109:C128"/>
    <mergeCell ref="A130:D130"/>
    <mergeCell ref="B170:E170"/>
    <mergeCell ref="B165:E165"/>
    <mergeCell ref="B166:E166"/>
    <mergeCell ref="B167:E167"/>
    <mergeCell ref="B168:E168"/>
    <mergeCell ref="B169:E169"/>
    <mergeCell ref="A160:E160"/>
    <mergeCell ref="B161:E161"/>
    <mergeCell ref="B162:E162"/>
    <mergeCell ref="B163:E163"/>
    <mergeCell ref="B164:E164"/>
  </mergeCells>
  <phoneticPr fontId="22" type="noConversion"/>
  <dataValidations count="2">
    <dataValidation type="decimal" allowBlank="1" showInputMessage="1" showErrorMessage="1" sqref="J17:J37 J48:J67 J77:J96 J109:J128 F17:F36 F48:F67 F77:F96 F109:F128" xr:uid="{00000000-0002-0000-0800-000000000000}">
      <formula1>0</formula1>
      <formula2>1</formula2>
    </dataValidation>
    <dataValidation type="decimal" allowBlank="1" showInputMessage="1" showErrorMessage="1" sqref="J11:J13" xr:uid="{2100F77E-06E7-42B6-8D1B-5E53F78ABEA0}">
      <formula1>0</formula1>
      <formula2>100</formula2>
    </dataValidation>
  </dataValidations>
  <pageMargins left="0.23622047244094491" right="0.23622047244094491" top="0.74803149606299213" bottom="0.74803149606299213" header="0.31496062992125984" footer="0.31496062992125984"/>
  <pageSetup scale="43" orientation="landscape" r:id="rId1"/>
  <headerFooter>
    <oddHeader xml:space="preserve">&amp;CCity of Winnipeg
497-2025-Form_B-Prices Water Meter Renewal and AMS Project
</oddHeader>
    <oddFooter>&amp;LCity of Winnipeg, MB&amp;C&amp;A | Page &amp;P of &amp;N&amp;RDiameter Services copyright 2025</oddFooter>
  </headerFooter>
  <rowBreaks count="1" manualBreakCount="1">
    <brk id="38" max="10" man="1"/>
  </rowBreaks>
  <colBreaks count="1" manualBreakCount="1">
    <brk id="12"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61D1F-9393-44AC-BD9E-A0A292F2147E}">
  <sheetPr>
    <tabColor theme="5" tint="0.79998168889431442"/>
  </sheetPr>
  <dimension ref="A1:Q29"/>
  <sheetViews>
    <sheetView workbookViewId="0">
      <selection activeCell="S22" sqref="S22"/>
    </sheetView>
  </sheetViews>
  <sheetFormatPr defaultRowHeight="14.4" x14ac:dyDescent="0.3"/>
  <cols>
    <col min="4" max="4" width="15.21875" customWidth="1"/>
    <col min="5" max="5" width="22" customWidth="1"/>
    <col min="13" max="17" width="9.21875" hidden="1" customWidth="1"/>
  </cols>
  <sheetData>
    <row r="1" spans="1:17" ht="21.6" thickBot="1" x14ac:dyDescent="0.35">
      <c r="A1" s="279" t="s">
        <v>1</v>
      </c>
      <c r="B1" s="280"/>
      <c r="C1" s="280"/>
      <c r="D1" s="281"/>
      <c r="E1" s="270" t="str">
        <f>'B Price Form Summary'!E1</f>
        <v>City of Winnipeg</v>
      </c>
      <c r="F1" s="271"/>
      <c r="G1" s="271"/>
      <c r="H1" s="271"/>
      <c r="I1" s="271"/>
      <c r="J1" s="271"/>
      <c r="K1" s="271"/>
      <c r="M1" s="196">
        <v>6.2585219525497685E-2</v>
      </c>
      <c r="N1" s="196">
        <v>0.22774065994000547</v>
      </c>
      <c r="O1" s="196">
        <v>0.30777883828742836</v>
      </c>
      <c r="P1" s="196">
        <v>0.26905508590128169</v>
      </c>
      <c r="Q1" s="196">
        <v>0.13284019634578673</v>
      </c>
    </row>
    <row r="2" spans="1:17" ht="21.6" thickBot="1" x14ac:dyDescent="0.35">
      <c r="A2" s="279" t="s">
        <v>2</v>
      </c>
      <c r="B2" s="280"/>
      <c r="C2" s="280"/>
      <c r="D2" s="281"/>
      <c r="E2" s="270" t="str">
        <f>'B Price Form Summary'!E2</f>
        <v>Name of Proponent</v>
      </c>
      <c r="F2" s="271"/>
      <c r="G2" s="271"/>
      <c r="H2" s="271"/>
      <c r="I2" s="271"/>
      <c r="J2" s="271"/>
      <c r="K2" s="271"/>
      <c r="M2">
        <v>13998</v>
      </c>
      <c r="N2">
        <v>50935</v>
      </c>
      <c r="O2">
        <v>68836</v>
      </c>
      <c r="P2">
        <v>60176</v>
      </c>
      <c r="Q2">
        <v>29710</v>
      </c>
    </row>
    <row r="3" spans="1:17" ht="63.45" customHeight="1" thickBot="1" x14ac:dyDescent="0.35">
      <c r="A3" s="279" t="s">
        <v>3</v>
      </c>
      <c r="B3" s="280"/>
      <c r="C3" s="280"/>
      <c r="D3" s="281"/>
      <c r="E3" s="270" t="str">
        <f>'B Price Form Summary'!E3</f>
        <v>497-2025_RFP - Supply of Advanced Meter Infrastructure and Water Meter Solution</v>
      </c>
      <c r="F3" s="271"/>
      <c r="G3" s="271"/>
      <c r="H3" s="271"/>
      <c r="I3" s="271"/>
      <c r="J3" s="271"/>
      <c r="K3" s="271"/>
    </row>
    <row r="4" spans="1:17" ht="21.6" thickBot="1" x14ac:dyDescent="0.35">
      <c r="A4" s="316" t="s">
        <v>290</v>
      </c>
      <c r="B4" s="317"/>
      <c r="C4" s="317"/>
      <c r="D4" s="317"/>
      <c r="E4" s="317"/>
      <c r="F4" s="317"/>
      <c r="G4" s="317"/>
      <c r="H4" s="317"/>
      <c r="I4" s="317"/>
      <c r="J4" s="317"/>
      <c r="K4" s="317"/>
    </row>
    <row r="5" spans="1:17" ht="15" thickBot="1" x14ac:dyDescent="0.35">
      <c r="A5" s="344"/>
      <c r="B5" s="344"/>
      <c r="C5" s="345"/>
      <c r="D5" s="361" t="s">
        <v>48</v>
      </c>
      <c r="E5" s="362"/>
      <c r="F5" s="54">
        <v>2026</v>
      </c>
      <c r="G5" s="54">
        <v>2027</v>
      </c>
      <c r="H5" s="54">
        <v>2028</v>
      </c>
      <c r="I5" s="54">
        <v>2029</v>
      </c>
      <c r="J5" s="54">
        <v>2030</v>
      </c>
      <c r="K5" s="7" t="s">
        <v>212</v>
      </c>
    </row>
    <row r="6" spans="1:17" ht="15" thickBot="1" x14ac:dyDescent="0.35">
      <c r="A6" s="346"/>
      <c r="B6" s="346"/>
      <c r="C6" s="347"/>
      <c r="D6" s="363" t="s">
        <v>457</v>
      </c>
      <c r="E6" s="364"/>
      <c r="F6" s="158">
        <f>ROUND(M2*(1-'B Meter and Radio Assumptions'!$F$8),0)</f>
        <v>13998</v>
      </c>
      <c r="G6" s="158">
        <f>ROUND(N2*(1-'B Meter and Radio Assumptions'!$F$8),0)</f>
        <v>50935</v>
      </c>
      <c r="H6" s="158">
        <f>ROUND(O2*(1-'B Meter and Radio Assumptions'!$F$8),0)</f>
        <v>68836</v>
      </c>
      <c r="I6" s="158">
        <f>ROUND(P2*(1-'B Meter and Radio Assumptions'!$F$8),0)</f>
        <v>60176</v>
      </c>
      <c r="J6" s="158">
        <f>ROUND(Q2*(1-'B Meter and Radio Assumptions'!$F$8),0)</f>
        <v>29710</v>
      </c>
      <c r="K6" s="159">
        <f>SUM(F6:J6)</f>
        <v>223655</v>
      </c>
    </row>
    <row r="7" spans="1:17" ht="15.75" customHeight="1" thickBot="1" x14ac:dyDescent="0.35">
      <c r="A7" s="346"/>
      <c r="B7" s="346"/>
      <c r="C7" s="347"/>
      <c r="D7" s="363" t="s">
        <v>458</v>
      </c>
      <c r="E7" s="364"/>
      <c r="F7" s="158">
        <f>ROUND(M2*'B Meter and Radio Assumptions'!$F$8,0)</f>
        <v>0</v>
      </c>
      <c r="G7" s="158">
        <f>ROUND(N2*'B Meter and Radio Assumptions'!$F$8,0)</f>
        <v>0</v>
      </c>
      <c r="H7" s="158">
        <f>ROUND(O2*'B Meter and Radio Assumptions'!$F$8,0)</f>
        <v>0</v>
      </c>
      <c r="I7" s="158">
        <f>ROUND(P2*'B Meter and Radio Assumptions'!$F$8,0)</f>
        <v>0</v>
      </c>
      <c r="J7" s="158">
        <f>ROUND(Q2*'B Meter and Radio Assumptions'!$F$8,0)</f>
        <v>0</v>
      </c>
      <c r="K7" s="159">
        <f t="shared" ref="K7" si="0">SUM(F7:J7)</f>
        <v>0</v>
      </c>
    </row>
    <row r="8" spans="1:17" ht="15" thickBot="1" x14ac:dyDescent="0.35">
      <c r="A8" s="346"/>
      <c r="B8" s="346"/>
      <c r="C8" s="347"/>
      <c r="D8" s="343" t="s">
        <v>238</v>
      </c>
      <c r="E8" s="343"/>
      <c r="F8" s="162">
        <f t="shared" ref="F8:K8" si="1">+SUM(F6:F7)</f>
        <v>13998</v>
      </c>
      <c r="G8" s="162">
        <f t="shared" si="1"/>
        <v>50935</v>
      </c>
      <c r="H8" s="162">
        <f t="shared" si="1"/>
        <v>68836</v>
      </c>
      <c r="I8" s="162">
        <f t="shared" si="1"/>
        <v>60176</v>
      </c>
      <c r="J8" s="162">
        <f t="shared" si="1"/>
        <v>29710</v>
      </c>
      <c r="K8" s="162">
        <f t="shared" si="1"/>
        <v>223655</v>
      </c>
    </row>
    <row r="9" spans="1:17" ht="15" hidden="1" thickBot="1" x14ac:dyDescent="0.35">
      <c r="A9" s="346"/>
      <c r="B9" s="346"/>
      <c r="C9" s="347"/>
      <c r="D9" s="343" t="s">
        <v>289</v>
      </c>
      <c r="E9" s="343"/>
      <c r="F9" s="186">
        <v>1.2544314153258795E-2</v>
      </c>
      <c r="G9" s="186">
        <v>0.20016362148895556</v>
      </c>
      <c r="H9" s="186">
        <v>0.31047177529315517</v>
      </c>
      <c r="I9" s="186">
        <v>0.29970002727024814</v>
      </c>
      <c r="J9" s="186">
        <v>0.17710000000000001</v>
      </c>
      <c r="K9" s="187">
        <f>SUM(F9:J9)</f>
        <v>0.9999797382056177</v>
      </c>
    </row>
    <row r="10" spans="1:17" ht="15" thickBot="1" x14ac:dyDescent="0.35"/>
    <row r="11" spans="1:17" ht="21.6" thickBot="1" x14ac:dyDescent="0.35">
      <c r="A11" s="279" t="s">
        <v>1</v>
      </c>
      <c r="B11" s="280"/>
      <c r="C11" s="280"/>
      <c r="D11" s="281"/>
      <c r="E11" s="270" t="str">
        <f>'B Price Form Summary'!E1</f>
        <v>City of Winnipeg</v>
      </c>
      <c r="F11" s="271"/>
      <c r="G11" s="271"/>
      <c r="H11" s="271"/>
      <c r="I11" s="271"/>
      <c r="J11" s="271"/>
      <c r="K11" s="271"/>
    </row>
    <row r="12" spans="1:17" ht="21.6" thickBot="1" x14ac:dyDescent="0.35">
      <c r="A12" s="279" t="s">
        <v>2</v>
      </c>
      <c r="B12" s="280"/>
      <c r="C12" s="280"/>
      <c r="D12" s="281"/>
      <c r="E12" s="270" t="str">
        <f>'B Price Form Summary'!E2</f>
        <v>Name of Proponent</v>
      </c>
      <c r="F12" s="271"/>
      <c r="G12" s="271"/>
      <c r="H12" s="271"/>
      <c r="I12" s="271"/>
      <c r="J12" s="271"/>
      <c r="K12" s="271"/>
    </row>
    <row r="13" spans="1:17" ht="21.75" customHeight="1" thickBot="1" x14ac:dyDescent="0.35">
      <c r="A13" s="279" t="s">
        <v>3</v>
      </c>
      <c r="B13" s="280"/>
      <c r="C13" s="280"/>
      <c r="D13" s="281"/>
      <c r="E13" s="270" t="str">
        <f>'B Price Form Summary'!E3</f>
        <v>497-2025_RFP - Supply of Advanced Meter Infrastructure and Water Meter Solution</v>
      </c>
      <c r="F13" s="271"/>
      <c r="G13" s="271"/>
      <c r="H13" s="271"/>
      <c r="I13" s="271"/>
      <c r="J13" s="271"/>
      <c r="K13" s="271"/>
    </row>
    <row r="14" spans="1:17" ht="21.6" thickBot="1" x14ac:dyDescent="0.35">
      <c r="A14" s="316" t="s">
        <v>301</v>
      </c>
      <c r="B14" s="317"/>
      <c r="C14" s="317"/>
      <c r="D14" s="317"/>
      <c r="E14" s="317"/>
      <c r="F14" s="317"/>
      <c r="G14" s="317"/>
      <c r="H14" s="317"/>
      <c r="I14" s="317"/>
      <c r="J14" s="317"/>
      <c r="K14" s="317"/>
    </row>
    <row r="15" spans="1:17" ht="15" thickBot="1" x14ac:dyDescent="0.35">
      <c r="A15" s="344"/>
      <c r="B15" s="344"/>
      <c r="C15" s="345"/>
      <c r="D15" s="7" t="s">
        <v>211</v>
      </c>
      <c r="E15" s="54" t="s">
        <v>48</v>
      </c>
      <c r="F15" s="54">
        <v>2026</v>
      </c>
      <c r="G15" s="54">
        <v>2027</v>
      </c>
      <c r="H15" s="54">
        <v>2028</v>
      </c>
      <c r="I15" s="54">
        <v>2029</v>
      </c>
      <c r="J15" s="54">
        <v>2030</v>
      </c>
      <c r="K15" s="7" t="s">
        <v>212</v>
      </c>
    </row>
    <row r="16" spans="1:17" ht="15" thickBot="1" x14ac:dyDescent="0.35">
      <c r="A16" s="346"/>
      <c r="B16" s="346"/>
      <c r="C16" s="347"/>
      <c r="D16" s="66" t="s">
        <v>252</v>
      </c>
      <c r="E16" s="157" t="s">
        <v>284</v>
      </c>
      <c r="F16" s="158">
        <v>13228</v>
      </c>
      <c r="G16" s="158">
        <v>48134</v>
      </c>
      <c r="H16" s="158">
        <v>65048</v>
      </c>
      <c r="I16" s="158">
        <v>56866</v>
      </c>
      <c r="J16" s="158">
        <v>28076</v>
      </c>
      <c r="K16" s="159">
        <f>SUM(F16:J16)</f>
        <v>211352</v>
      </c>
    </row>
    <row r="17" spans="1:11" ht="15" thickBot="1" x14ac:dyDescent="0.35">
      <c r="A17" s="346"/>
      <c r="B17" s="346"/>
      <c r="C17" s="347"/>
      <c r="D17" s="66" t="s">
        <v>339</v>
      </c>
      <c r="E17" s="157" t="s">
        <v>284</v>
      </c>
      <c r="F17" s="158">
        <v>63</v>
      </c>
      <c r="G17" s="158">
        <v>228</v>
      </c>
      <c r="H17" s="158">
        <v>308</v>
      </c>
      <c r="I17" s="158">
        <v>269</v>
      </c>
      <c r="J17" s="158">
        <v>132</v>
      </c>
      <c r="K17" s="159">
        <f>SUM(F17:J17)</f>
        <v>1000</v>
      </c>
    </row>
    <row r="18" spans="1:11" ht="15" thickBot="1" x14ac:dyDescent="0.35">
      <c r="A18" s="346"/>
      <c r="B18" s="346"/>
      <c r="C18" s="347"/>
      <c r="D18" s="66" t="s">
        <v>213</v>
      </c>
      <c r="E18" s="160" t="s">
        <v>284</v>
      </c>
      <c r="F18" s="158">
        <v>254</v>
      </c>
      <c r="G18" s="158">
        <v>921</v>
      </c>
      <c r="H18" s="158">
        <v>1245</v>
      </c>
      <c r="I18" s="158">
        <v>1088</v>
      </c>
      <c r="J18" s="158">
        <v>537</v>
      </c>
      <c r="K18" s="159">
        <f t="shared" ref="K18:K27" si="2">SUM(F18:J18)</f>
        <v>4045</v>
      </c>
    </row>
    <row r="19" spans="1:11" ht="15" thickBot="1" x14ac:dyDescent="0.35">
      <c r="A19" s="346"/>
      <c r="B19" s="346"/>
      <c r="C19" s="347"/>
      <c r="D19" s="9" t="s">
        <v>214</v>
      </c>
      <c r="E19" s="157" t="s">
        <v>284</v>
      </c>
      <c r="F19" s="158">
        <v>231</v>
      </c>
      <c r="G19" s="158">
        <v>841</v>
      </c>
      <c r="H19" s="158">
        <v>1136</v>
      </c>
      <c r="I19" s="158">
        <v>994</v>
      </c>
      <c r="J19" s="158">
        <v>491</v>
      </c>
      <c r="K19" s="159">
        <f t="shared" si="2"/>
        <v>3693</v>
      </c>
    </row>
    <row r="20" spans="1:11" ht="15" thickBot="1" x14ac:dyDescent="0.35">
      <c r="A20" s="346"/>
      <c r="B20" s="346"/>
      <c r="C20" s="347"/>
      <c r="D20" s="9" t="s">
        <v>282</v>
      </c>
      <c r="E20" s="157" t="s">
        <v>284</v>
      </c>
      <c r="F20" s="158">
        <v>112</v>
      </c>
      <c r="G20" s="158">
        <v>409</v>
      </c>
      <c r="H20" s="158">
        <v>552</v>
      </c>
      <c r="I20" s="158">
        <v>483</v>
      </c>
      <c r="J20" s="158">
        <v>238</v>
      </c>
      <c r="K20" s="159">
        <f t="shared" si="2"/>
        <v>1794</v>
      </c>
    </row>
    <row r="21" spans="1:11" ht="15" thickBot="1" x14ac:dyDescent="0.35">
      <c r="A21" s="346"/>
      <c r="B21" s="346"/>
      <c r="C21" s="347"/>
      <c r="D21" s="9" t="s">
        <v>215</v>
      </c>
      <c r="E21" s="157" t="s">
        <v>284</v>
      </c>
      <c r="F21" s="158">
        <v>90</v>
      </c>
      <c r="G21" s="158">
        <v>324</v>
      </c>
      <c r="H21" s="158">
        <v>438</v>
      </c>
      <c r="I21" s="158">
        <v>383</v>
      </c>
      <c r="J21" s="158">
        <v>189</v>
      </c>
      <c r="K21" s="159">
        <f t="shared" si="2"/>
        <v>1424</v>
      </c>
    </row>
    <row r="22" spans="1:11" ht="15" thickBot="1" x14ac:dyDescent="0.35">
      <c r="A22" s="346"/>
      <c r="B22" s="346"/>
      <c r="C22" s="347"/>
      <c r="D22" s="9" t="s">
        <v>216</v>
      </c>
      <c r="E22" s="164" t="s">
        <v>284</v>
      </c>
      <c r="F22" s="158">
        <v>12</v>
      </c>
      <c r="G22" s="158">
        <v>40</v>
      </c>
      <c r="H22" s="158">
        <v>54</v>
      </c>
      <c r="I22" s="158">
        <v>47</v>
      </c>
      <c r="J22" s="158">
        <v>23</v>
      </c>
      <c r="K22" s="159">
        <f t="shared" si="2"/>
        <v>176</v>
      </c>
    </row>
    <row r="23" spans="1:11" ht="15" thickBot="1" x14ac:dyDescent="0.35">
      <c r="A23" s="346"/>
      <c r="B23" s="346"/>
      <c r="C23" s="347"/>
      <c r="D23" s="9" t="s">
        <v>217</v>
      </c>
      <c r="E23" s="164" t="s">
        <v>284</v>
      </c>
      <c r="F23" s="158">
        <v>4</v>
      </c>
      <c r="G23" s="158">
        <v>14</v>
      </c>
      <c r="H23" s="158">
        <v>19</v>
      </c>
      <c r="I23" s="158">
        <v>17</v>
      </c>
      <c r="J23" s="158">
        <v>8</v>
      </c>
      <c r="K23" s="159">
        <f>SUM(F23:J23)</f>
        <v>62</v>
      </c>
    </row>
    <row r="24" spans="1:11" ht="15" thickBot="1" x14ac:dyDescent="0.35">
      <c r="A24" s="346"/>
      <c r="B24" s="346"/>
      <c r="C24" s="347"/>
      <c r="D24" s="9" t="s">
        <v>218</v>
      </c>
      <c r="E24" s="164" t="s">
        <v>284</v>
      </c>
      <c r="F24" s="158">
        <v>1</v>
      </c>
      <c r="G24" s="158">
        <v>5</v>
      </c>
      <c r="H24" s="158">
        <v>7</v>
      </c>
      <c r="I24" s="158">
        <v>6</v>
      </c>
      <c r="J24" s="158">
        <v>3</v>
      </c>
      <c r="K24" s="159">
        <f t="shared" si="2"/>
        <v>22</v>
      </c>
    </row>
    <row r="25" spans="1:11" ht="15" thickBot="1" x14ac:dyDescent="0.35">
      <c r="A25" s="346"/>
      <c r="B25" s="346"/>
      <c r="C25" s="347"/>
      <c r="D25" s="9" t="s">
        <v>219</v>
      </c>
      <c r="E25" s="164" t="s">
        <v>284</v>
      </c>
      <c r="F25" s="158">
        <v>0</v>
      </c>
      <c r="G25" s="158">
        <v>1</v>
      </c>
      <c r="H25" s="158">
        <v>1</v>
      </c>
      <c r="I25" s="158">
        <v>1</v>
      </c>
      <c r="J25" s="158">
        <v>1</v>
      </c>
      <c r="K25" s="159">
        <f t="shared" si="2"/>
        <v>4</v>
      </c>
    </row>
    <row r="26" spans="1:11" ht="15" thickBot="1" x14ac:dyDescent="0.35">
      <c r="A26" s="346"/>
      <c r="B26" s="346"/>
      <c r="C26" s="347"/>
      <c r="D26" s="164" t="s">
        <v>220</v>
      </c>
      <c r="E26" s="164" t="s">
        <v>284</v>
      </c>
      <c r="F26" s="158">
        <v>0</v>
      </c>
      <c r="G26" s="158">
        <v>0</v>
      </c>
      <c r="H26" s="158">
        <v>0</v>
      </c>
      <c r="I26" s="158">
        <v>1</v>
      </c>
      <c r="J26" s="158">
        <v>0</v>
      </c>
      <c r="K26" s="159">
        <f t="shared" si="2"/>
        <v>1</v>
      </c>
    </row>
    <row r="27" spans="1:11" ht="15" thickBot="1" x14ac:dyDescent="0.35">
      <c r="A27" s="346"/>
      <c r="B27" s="346"/>
      <c r="C27" s="347"/>
      <c r="D27" s="66" t="s">
        <v>252</v>
      </c>
      <c r="E27" s="164" t="s">
        <v>344</v>
      </c>
      <c r="F27" s="158">
        <v>0</v>
      </c>
      <c r="G27" s="158">
        <v>500</v>
      </c>
      <c r="H27" s="158">
        <v>0</v>
      </c>
      <c r="I27" s="158">
        <v>0</v>
      </c>
      <c r="J27" s="158">
        <v>0</v>
      </c>
      <c r="K27" s="159">
        <f t="shared" si="2"/>
        <v>500</v>
      </c>
    </row>
    <row r="28" spans="1:11" ht="15" thickBot="1" x14ac:dyDescent="0.35">
      <c r="A28" s="346"/>
      <c r="B28" s="346"/>
      <c r="C28" s="347"/>
      <c r="D28" s="197" t="s">
        <v>343</v>
      </c>
      <c r="E28" s="164" t="s">
        <v>345</v>
      </c>
      <c r="F28" s="158">
        <f>ROUND(F29*0.1,0)</f>
        <v>1400</v>
      </c>
      <c r="G28" s="158">
        <f t="shared" ref="G28:J28" si="3">ROUND(G29*0.1,0)</f>
        <v>5092</v>
      </c>
      <c r="H28" s="158">
        <f t="shared" si="3"/>
        <v>6881</v>
      </c>
      <c r="I28" s="158">
        <f t="shared" si="3"/>
        <v>6016</v>
      </c>
      <c r="J28" s="158">
        <f t="shared" si="3"/>
        <v>2970</v>
      </c>
      <c r="K28" s="159"/>
    </row>
    <row r="29" spans="1:11" ht="15" thickBot="1" x14ac:dyDescent="0.35">
      <c r="A29" s="346"/>
      <c r="B29" s="346"/>
      <c r="C29" s="347"/>
      <c r="D29" s="343" t="s">
        <v>238</v>
      </c>
      <c r="E29" s="343"/>
      <c r="F29" s="162">
        <f t="shared" ref="F29:K29" si="4">+SUM(F16:F26)</f>
        <v>13995</v>
      </c>
      <c r="G29" s="162">
        <f t="shared" si="4"/>
        <v>50917</v>
      </c>
      <c r="H29" s="162">
        <f t="shared" si="4"/>
        <v>68808</v>
      </c>
      <c r="I29" s="162">
        <f t="shared" si="4"/>
        <v>60155</v>
      </c>
      <c r="J29" s="162">
        <f t="shared" si="4"/>
        <v>29698</v>
      </c>
      <c r="K29" s="162">
        <f t="shared" si="4"/>
        <v>223573</v>
      </c>
    </row>
  </sheetData>
  <sheetProtection algorithmName="SHA-512" hashValue="5L+ghyo7y+6HKYAKqTL9EDHojMufJbmGacE3bxnWGUklXVoM0CHL2KuPRx04IibeHyA0jdPf5fr/Espn9C4bmw==" saltValue="DeyMYCo0Zk4qnpBivQ2jnw==" spinCount="100000" sheet="1" objects="1" scenarios="1"/>
  <mergeCells count="22">
    <mergeCell ref="A1:D1"/>
    <mergeCell ref="E1:K1"/>
    <mergeCell ref="A2:D2"/>
    <mergeCell ref="E2:K2"/>
    <mergeCell ref="A3:D3"/>
    <mergeCell ref="E3:K3"/>
    <mergeCell ref="A4:K4"/>
    <mergeCell ref="A5:C9"/>
    <mergeCell ref="D5:E5"/>
    <mergeCell ref="D6:E6"/>
    <mergeCell ref="D7:E7"/>
    <mergeCell ref="D8:E8"/>
    <mergeCell ref="D9:E9"/>
    <mergeCell ref="A14:K14"/>
    <mergeCell ref="A15:C29"/>
    <mergeCell ref="D29:E29"/>
    <mergeCell ref="A11:D11"/>
    <mergeCell ref="E11:K11"/>
    <mergeCell ref="A12:D12"/>
    <mergeCell ref="E12:K12"/>
    <mergeCell ref="A13:D13"/>
    <mergeCell ref="E13:K1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AE193-48E1-458A-8DA7-0C86623DE216}">
  <sheetPr>
    <tabColor theme="9" tint="0.79998168889431442"/>
    <pageSetUpPr fitToPage="1"/>
  </sheetPr>
  <dimension ref="A1:K52"/>
  <sheetViews>
    <sheetView tabSelected="1" workbookViewId="0">
      <selection activeCell="A17" sqref="A17:A22"/>
    </sheetView>
  </sheetViews>
  <sheetFormatPr defaultColWidth="9.21875" defaultRowHeight="14.4" x14ac:dyDescent="0.3"/>
  <cols>
    <col min="1" max="1" width="22.21875" style="1" customWidth="1"/>
    <col min="2" max="2" width="16.5546875" style="1" customWidth="1"/>
    <col min="3" max="3" width="52.77734375" style="1" customWidth="1"/>
    <col min="4" max="5" width="22.21875" style="1" customWidth="1"/>
    <col min="6" max="6" width="22.21875" style="1" hidden="1" customWidth="1"/>
    <col min="7" max="10" width="22.21875" style="1" customWidth="1"/>
    <col min="11" max="16384" width="9.21875" style="1"/>
  </cols>
  <sheetData>
    <row r="1" spans="1:11" ht="21.45" customHeight="1" thickBot="1" x14ac:dyDescent="0.35">
      <c r="A1" s="279" t="s">
        <v>1</v>
      </c>
      <c r="B1" s="280"/>
      <c r="C1" s="280"/>
      <c r="D1" s="280"/>
      <c r="E1" s="415" t="str">
        <f>+'B Price Form Summary'!E1</f>
        <v>City of Winnipeg</v>
      </c>
      <c r="F1" s="416"/>
      <c r="G1" s="416"/>
      <c r="H1" s="416"/>
      <c r="I1" s="416"/>
      <c r="J1" s="417"/>
      <c r="K1" s="107"/>
    </row>
    <row r="2" spans="1:11" ht="21.6" thickBot="1" x14ac:dyDescent="0.35">
      <c r="A2" s="279" t="s">
        <v>2</v>
      </c>
      <c r="B2" s="280"/>
      <c r="C2" s="280"/>
      <c r="D2" s="280"/>
      <c r="E2" s="418" t="str">
        <f>+'B Price Form Summary'!E2</f>
        <v>Name of Proponent</v>
      </c>
      <c r="F2" s="419"/>
      <c r="G2" s="419"/>
      <c r="H2" s="419"/>
      <c r="I2" s="419"/>
      <c r="J2" s="420"/>
      <c r="K2" s="64"/>
    </row>
    <row r="3" spans="1:11" ht="21.45" customHeight="1" thickBot="1" x14ac:dyDescent="0.35">
      <c r="A3" s="279" t="s">
        <v>3</v>
      </c>
      <c r="B3" s="280"/>
      <c r="C3" s="280"/>
      <c r="D3" s="280"/>
      <c r="E3" s="415" t="str">
        <f>+'B Price Form Summary'!E3</f>
        <v>497-2025_RFP - Supply of Advanced Meter Infrastructure and Water Meter Solution</v>
      </c>
      <c r="F3" s="416"/>
      <c r="G3" s="416"/>
      <c r="H3" s="416"/>
      <c r="I3" s="416"/>
      <c r="J3" s="417"/>
      <c r="K3" s="64"/>
    </row>
    <row r="4" spans="1:11" ht="21.6" thickBot="1" x14ac:dyDescent="0.35">
      <c r="A4" s="321" t="str">
        <f>+'B Price Form Summary'!F35</f>
        <v>B7 - Optional Products, Services and Software</v>
      </c>
      <c r="B4" s="322"/>
      <c r="C4" s="322"/>
      <c r="D4" s="322"/>
      <c r="E4" s="322"/>
      <c r="F4" s="322"/>
      <c r="G4" s="322"/>
      <c r="H4" s="322"/>
      <c r="I4" s="322"/>
      <c r="J4" s="323"/>
    </row>
    <row r="5" spans="1:11" ht="31.8" customHeight="1" thickBot="1" x14ac:dyDescent="0.35">
      <c r="A5" s="324" t="s">
        <v>77</v>
      </c>
      <c r="B5" s="325"/>
      <c r="C5" s="325"/>
      <c r="D5" s="325"/>
      <c r="E5" s="325"/>
      <c r="F5" s="325"/>
      <c r="G5" s="325"/>
      <c r="H5" s="325"/>
      <c r="I5" s="325"/>
      <c r="J5" s="326"/>
    </row>
    <row r="6" spans="1:11" ht="31.8" thickBot="1" x14ac:dyDescent="0.35">
      <c r="A6" s="6" t="s">
        <v>46</v>
      </c>
      <c r="B6" s="6" t="s">
        <v>47</v>
      </c>
      <c r="C6" s="7" t="s">
        <v>48</v>
      </c>
      <c r="D6" s="7" t="s">
        <v>49</v>
      </c>
      <c r="E6" s="7" t="s">
        <v>50</v>
      </c>
      <c r="F6" s="7" t="s">
        <v>62</v>
      </c>
      <c r="G6" s="7" t="s">
        <v>51</v>
      </c>
      <c r="H6" s="8" t="s">
        <v>52</v>
      </c>
      <c r="I6" s="8" t="s">
        <v>53</v>
      </c>
      <c r="J6" s="8" t="s">
        <v>7</v>
      </c>
    </row>
    <row r="7" spans="1:11" ht="16.2" thickBot="1" x14ac:dyDescent="0.35">
      <c r="A7" s="21" t="s">
        <v>264</v>
      </c>
      <c r="B7" s="93"/>
      <c r="C7" s="83" t="s">
        <v>140</v>
      </c>
      <c r="D7" s="82"/>
      <c r="E7" s="82" t="s">
        <v>55</v>
      </c>
      <c r="F7" s="82"/>
      <c r="G7" s="29"/>
      <c r="H7" s="82"/>
      <c r="I7" s="12"/>
      <c r="J7" s="13">
        <f t="shared" ref="J7" si="0">H7*I7</f>
        <v>0</v>
      </c>
    </row>
    <row r="8" spans="1:11" ht="16.2" thickBot="1" x14ac:dyDescent="0.35">
      <c r="A8" s="21" t="s">
        <v>265</v>
      </c>
      <c r="B8" s="93"/>
      <c r="C8" s="83" t="s">
        <v>140</v>
      </c>
      <c r="D8" s="82"/>
      <c r="E8" s="82" t="s">
        <v>55</v>
      </c>
      <c r="F8" s="82"/>
      <c r="G8" s="29"/>
      <c r="H8" s="82"/>
      <c r="I8" s="12"/>
      <c r="J8" s="13">
        <f t="shared" ref="J8:J13" si="1">H8*I8</f>
        <v>0</v>
      </c>
    </row>
    <row r="9" spans="1:11" ht="16.2" thickBot="1" x14ac:dyDescent="0.35">
      <c r="A9" s="21" t="s">
        <v>266</v>
      </c>
      <c r="B9" s="93"/>
      <c r="C9" s="83" t="s">
        <v>140</v>
      </c>
      <c r="D9" s="82"/>
      <c r="E9" s="82" t="s">
        <v>55</v>
      </c>
      <c r="F9" s="82"/>
      <c r="G9" s="29"/>
      <c r="H9" s="82"/>
      <c r="I9" s="12"/>
      <c r="J9" s="13">
        <f t="shared" si="1"/>
        <v>0</v>
      </c>
    </row>
    <row r="10" spans="1:11" ht="16.2" thickBot="1" x14ac:dyDescent="0.35">
      <c r="A10" s="21" t="s">
        <v>267</v>
      </c>
      <c r="B10" s="93"/>
      <c r="C10" s="83" t="s">
        <v>140</v>
      </c>
      <c r="D10" s="82"/>
      <c r="E10" s="82" t="s">
        <v>55</v>
      </c>
      <c r="F10" s="82"/>
      <c r="G10" s="29"/>
      <c r="H10" s="82"/>
      <c r="I10" s="12"/>
      <c r="J10" s="13">
        <f t="shared" si="1"/>
        <v>0</v>
      </c>
    </row>
    <row r="11" spans="1:11" ht="16.2" thickBot="1" x14ac:dyDescent="0.35">
      <c r="A11" s="21" t="s">
        <v>268</v>
      </c>
      <c r="B11" s="93"/>
      <c r="C11" s="83" t="s">
        <v>140</v>
      </c>
      <c r="D11" s="82"/>
      <c r="E11" s="82" t="s">
        <v>55</v>
      </c>
      <c r="F11" s="82"/>
      <c r="G11" s="29"/>
      <c r="H11" s="82"/>
      <c r="I11" s="12"/>
      <c r="J11" s="13">
        <f t="shared" si="1"/>
        <v>0</v>
      </c>
    </row>
    <row r="12" spans="1:11" ht="16.2" thickBot="1" x14ac:dyDescent="0.35">
      <c r="A12" s="21" t="s">
        <v>269</v>
      </c>
      <c r="B12" s="93"/>
      <c r="C12" s="83" t="s">
        <v>140</v>
      </c>
      <c r="D12" s="82"/>
      <c r="E12" s="82" t="s">
        <v>55</v>
      </c>
      <c r="F12" s="82"/>
      <c r="G12" s="29"/>
      <c r="H12" s="82"/>
      <c r="I12" s="12"/>
      <c r="J12" s="13">
        <f t="shared" si="1"/>
        <v>0</v>
      </c>
    </row>
    <row r="13" spans="1:11" ht="16.2" thickBot="1" x14ac:dyDescent="0.35">
      <c r="A13" s="21" t="s">
        <v>270</v>
      </c>
      <c r="B13" s="93"/>
      <c r="C13" s="83" t="s">
        <v>140</v>
      </c>
      <c r="D13" s="82"/>
      <c r="E13" s="82" t="s">
        <v>55</v>
      </c>
      <c r="F13" s="82"/>
      <c r="G13" s="29"/>
      <c r="H13" s="82"/>
      <c r="I13" s="12"/>
      <c r="J13" s="13">
        <f t="shared" si="1"/>
        <v>0</v>
      </c>
    </row>
    <row r="14" spans="1:11" ht="27.75" customHeight="1" thickBot="1" x14ac:dyDescent="0.45">
      <c r="A14" s="381" t="str">
        <f>+"Total - "&amp;A4&amp;"(CDN$)"</f>
        <v>Total - B7 - Optional Products, Services and Software(CDN$)</v>
      </c>
      <c r="B14" s="382"/>
      <c r="C14" s="382"/>
      <c r="D14" s="382"/>
      <c r="E14" s="382"/>
      <c r="F14" s="382"/>
      <c r="G14" s="382"/>
      <c r="H14" s="382"/>
      <c r="I14" s="383"/>
      <c r="J14" s="5">
        <f>+SUM(J7:J13)</f>
        <v>0</v>
      </c>
      <c r="K14" s="77"/>
    </row>
    <row r="15" spans="1:11" ht="21.75" customHeight="1" thickBot="1" x14ac:dyDescent="0.5">
      <c r="J15" s="41" t="str">
        <f>+"Transfer the total for "&amp; $A$4&amp;" to B Price Form Summary"</f>
        <v>Transfer the total for B7 - Optional Products, Services and Software to B Price Form Summary</v>
      </c>
    </row>
    <row r="16" spans="1:11" ht="21.75" customHeight="1" thickBot="1" x14ac:dyDescent="0.35">
      <c r="A16" s="316" t="s">
        <v>56</v>
      </c>
      <c r="B16" s="317"/>
      <c r="C16" s="317"/>
      <c r="D16" s="317"/>
      <c r="E16" s="327"/>
      <c r="F16" s="70"/>
      <c r="G16" s="71"/>
      <c r="H16" s="72"/>
      <c r="I16" s="76"/>
      <c r="J16" s="73"/>
    </row>
    <row r="17" spans="1:8" ht="45" customHeight="1" thickBot="1" x14ac:dyDescent="0.35">
      <c r="A17" s="89" t="s">
        <v>271</v>
      </c>
      <c r="B17" s="378"/>
      <c r="C17" s="379"/>
      <c r="D17" s="379"/>
      <c r="E17" s="380"/>
      <c r="H17" s="35"/>
    </row>
    <row r="18" spans="1:8" ht="45" customHeight="1" thickBot="1" x14ac:dyDescent="0.35">
      <c r="A18" s="89" t="s">
        <v>272</v>
      </c>
      <c r="B18" s="335"/>
      <c r="C18" s="336"/>
      <c r="D18" s="336"/>
      <c r="E18" s="371"/>
      <c r="H18" s="35"/>
    </row>
    <row r="19" spans="1:8" ht="45" customHeight="1" thickBot="1" x14ac:dyDescent="0.35">
      <c r="A19" s="89" t="s">
        <v>273</v>
      </c>
      <c r="B19" s="335"/>
      <c r="C19" s="336"/>
      <c r="D19" s="336"/>
      <c r="E19" s="371"/>
      <c r="H19" s="35"/>
    </row>
    <row r="20" spans="1:8" ht="45" customHeight="1" thickBot="1" x14ac:dyDescent="0.35">
      <c r="A20" s="89" t="s">
        <v>274</v>
      </c>
      <c r="B20" s="335"/>
      <c r="C20" s="336"/>
      <c r="D20" s="336"/>
      <c r="E20" s="371"/>
      <c r="H20" s="35"/>
    </row>
    <row r="21" spans="1:8" ht="45" customHeight="1" thickBot="1" x14ac:dyDescent="0.35">
      <c r="A21" s="89" t="s">
        <v>275</v>
      </c>
      <c r="B21" s="335"/>
      <c r="C21" s="336"/>
      <c r="D21" s="336"/>
      <c r="E21" s="371"/>
      <c r="H21" s="35"/>
    </row>
    <row r="22" spans="1:8" ht="45" customHeight="1" thickBot="1" x14ac:dyDescent="0.35">
      <c r="A22" s="89" t="s">
        <v>276</v>
      </c>
      <c r="B22" s="335"/>
      <c r="C22" s="336"/>
      <c r="D22" s="336"/>
      <c r="E22" s="371"/>
      <c r="H22" s="35"/>
    </row>
    <row r="52" ht="14.55" customHeight="1" x14ac:dyDescent="0.3"/>
  </sheetData>
  <sheetProtection formatCells="0"/>
  <mergeCells count="16">
    <mergeCell ref="B22:E22"/>
    <mergeCell ref="B17:E17"/>
    <mergeCell ref="B18:E18"/>
    <mergeCell ref="B19:E19"/>
    <mergeCell ref="B20:E20"/>
    <mergeCell ref="B21:E21"/>
    <mergeCell ref="A16:E16"/>
    <mergeCell ref="A1:D1"/>
    <mergeCell ref="E1:J1"/>
    <mergeCell ref="A2:D2"/>
    <mergeCell ref="E2:J2"/>
    <mergeCell ref="A3:D3"/>
    <mergeCell ref="E3:J3"/>
    <mergeCell ref="A4:J4"/>
    <mergeCell ref="A5:J5"/>
    <mergeCell ref="A14:I14"/>
  </mergeCells>
  <phoneticPr fontId="22" type="noConversion"/>
  <pageMargins left="0.23622047244094491" right="0.23622047244094491" top="0.74803149606299213" bottom="0.74803149606299213" header="0.31496062992125984" footer="0.31496062992125984"/>
  <pageSetup scale="57" fitToHeight="0" orientation="landscape" r:id="rId1"/>
  <headerFooter>
    <oddHeader xml:space="preserve">&amp;CCity of Winnipeg
497-2025-Form_B-Prices Water Meter Renewal and AMS Project
</oddHeader>
    <oddFooter>&amp;LCity of Winnipeg, MB&amp;C&amp;A | Page &amp;P of &amp;N&amp;RDiameter Services copyright 2025</oddFooter>
  </headerFooter>
  <rowBreaks count="1" manualBreakCount="1">
    <brk id="15" max="16383" man="1"/>
  </rowBreaks>
  <colBreaks count="1" manualBreakCount="1">
    <brk id="10"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927B7E0E-8E59-41AF-903A-A6712AC5EC09}">
          <x14:formula1>
            <xm:f>Lookups!$A$2:$A$3</xm:f>
          </x14:formula1>
          <xm:sqref>G7:G13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tabColor rgb="FFFFFF00"/>
  </sheetPr>
  <dimension ref="A1:A6"/>
  <sheetViews>
    <sheetView workbookViewId="0"/>
  </sheetViews>
  <sheetFormatPr defaultRowHeight="14.4" x14ac:dyDescent="0.3"/>
  <cols>
    <col min="1" max="1" width="42.77734375" customWidth="1"/>
  </cols>
  <sheetData>
    <row r="1" spans="1:1" ht="16.2" thickBot="1" x14ac:dyDescent="0.35">
      <c r="A1" s="21" t="s">
        <v>57</v>
      </c>
    </row>
    <row r="2" spans="1:1" ht="15" customHeight="1" x14ac:dyDescent="0.3">
      <c r="A2" s="74" t="s">
        <v>54</v>
      </c>
    </row>
    <row r="3" spans="1:1" x14ac:dyDescent="0.3">
      <c r="A3" s="74" t="s">
        <v>78</v>
      </c>
    </row>
    <row r="4" spans="1:1" ht="15" thickBot="1" x14ac:dyDescent="0.35">
      <c r="A4" s="30" t="s">
        <v>57</v>
      </c>
    </row>
    <row r="5" spans="1:1" x14ac:dyDescent="0.3">
      <c r="A5" s="74" t="s">
        <v>141</v>
      </c>
    </row>
    <row r="6" spans="1:1" x14ac:dyDescent="0.3">
      <c r="A6" s="74" t="s">
        <v>85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5"/>
  <dimension ref="B1:B2"/>
  <sheetViews>
    <sheetView workbookViewId="0"/>
  </sheetViews>
  <sheetFormatPr defaultRowHeight="14.4" x14ac:dyDescent="0.3"/>
  <sheetData>
    <row r="1" spans="2:2" x14ac:dyDescent="0.3">
      <c r="B1" t="s">
        <v>60</v>
      </c>
    </row>
    <row r="2" spans="2:2" x14ac:dyDescent="0.3">
      <c r="B2" t="s">
        <v>142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6"/>
  <dimension ref="A1:A3"/>
  <sheetViews>
    <sheetView workbookViewId="0"/>
  </sheetViews>
  <sheetFormatPr defaultRowHeight="14.4" x14ac:dyDescent="0.3"/>
  <sheetData>
    <row r="1" spans="1:1" x14ac:dyDescent="0.3">
      <c r="A1" t="s">
        <v>143</v>
      </c>
    </row>
    <row r="2" spans="1:1" x14ac:dyDescent="0.3">
      <c r="A2" t="s">
        <v>60</v>
      </c>
    </row>
    <row r="3" spans="1:1" x14ac:dyDescent="0.3">
      <c r="A3" t="s">
        <v>142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1"/>
    <pageSetUpPr fitToPage="1"/>
  </sheetPr>
  <dimension ref="A1:P80"/>
  <sheetViews>
    <sheetView topLeftCell="B1" zoomScaleNormal="100" workbookViewId="0">
      <selection activeCell="E4" sqref="E4:I4"/>
    </sheetView>
  </sheetViews>
  <sheetFormatPr defaultColWidth="9.21875" defaultRowHeight="14.4" x14ac:dyDescent="0.3"/>
  <cols>
    <col min="1" max="1" width="22.44140625" style="1" hidden="1" customWidth="1"/>
    <col min="2" max="2" width="11.21875" style="1" customWidth="1"/>
    <col min="3" max="3" width="14.21875" style="1" bestFit="1" customWidth="1"/>
    <col min="4" max="4" width="29.21875" style="1" customWidth="1"/>
    <col min="5" max="5" width="20" style="1" customWidth="1"/>
    <col min="6" max="6" width="17.5546875" style="1" bestFit="1" customWidth="1"/>
    <col min="7" max="7" width="14.21875" style="1" bestFit="1" customWidth="1"/>
    <col min="8" max="8" width="33.77734375" style="1" customWidth="1"/>
    <col min="9" max="9" width="25.21875" style="1" customWidth="1"/>
    <col min="10" max="10" width="14.44140625" style="1" bestFit="1" customWidth="1"/>
    <col min="11" max="16384" width="9.21875" style="1"/>
  </cols>
  <sheetData>
    <row r="1" spans="1:12" ht="21.6" thickBot="1" x14ac:dyDescent="0.35">
      <c r="A1" s="103"/>
      <c r="B1" s="279" t="s">
        <v>1</v>
      </c>
      <c r="C1" s="280"/>
      <c r="D1" s="281"/>
      <c r="E1" s="270" t="s">
        <v>144</v>
      </c>
      <c r="F1" s="271"/>
      <c r="G1" s="271"/>
      <c r="H1" s="271"/>
      <c r="I1" s="272"/>
      <c r="J1" s="105"/>
      <c r="K1" s="105"/>
      <c r="L1" s="105"/>
    </row>
    <row r="2" spans="1:12" ht="21.6" thickBot="1" x14ac:dyDescent="0.35">
      <c r="A2" s="103"/>
      <c r="B2" s="279" t="s">
        <v>2</v>
      </c>
      <c r="C2" s="280"/>
      <c r="D2" s="281"/>
      <c r="E2" s="273" t="s">
        <v>614</v>
      </c>
      <c r="F2" s="274"/>
      <c r="G2" s="274"/>
      <c r="H2" s="274"/>
      <c r="I2" s="275"/>
    </row>
    <row r="3" spans="1:12" ht="21.75" customHeight="1" thickBot="1" x14ac:dyDescent="0.35">
      <c r="A3" s="103"/>
      <c r="B3" s="279" t="s">
        <v>3</v>
      </c>
      <c r="C3" s="280"/>
      <c r="D3" s="281"/>
      <c r="E3" s="276" t="s">
        <v>612</v>
      </c>
      <c r="F3" s="277"/>
      <c r="G3" s="277"/>
      <c r="H3" s="277"/>
      <c r="I3" s="278"/>
      <c r="L3"/>
    </row>
    <row r="4" spans="1:12" ht="69.75" customHeight="1" thickBot="1" x14ac:dyDescent="0.35">
      <c r="A4" s="103"/>
      <c r="B4" s="270" t="s">
        <v>602</v>
      </c>
      <c r="C4" s="271"/>
      <c r="D4" s="272"/>
      <c r="E4" s="282" t="s">
        <v>4</v>
      </c>
      <c r="F4" s="283"/>
      <c r="G4" s="283"/>
      <c r="H4" s="283"/>
      <c r="I4" s="284"/>
    </row>
    <row r="5" spans="1:12" ht="21.6" thickBot="1" x14ac:dyDescent="0.35">
      <c r="A5" s="25"/>
      <c r="B5" s="25"/>
      <c r="C5" s="25"/>
      <c r="D5" s="25"/>
      <c r="E5" s="241" t="s">
        <v>298</v>
      </c>
      <c r="F5" s="242"/>
      <c r="G5" s="242"/>
      <c r="H5" s="242"/>
      <c r="I5" s="243"/>
    </row>
    <row r="6" spans="1:12" ht="16.2" thickBot="1" x14ac:dyDescent="0.35">
      <c r="C6" s="17"/>
      <c r="D6" s="17"/>
      <c r="E6" s="36" t="s">
        <v>5</v>
      </c>
      <c r="F6" s="258" t="s">
        <v>6</v>
      </c>
      <c r="G6" s="259"/>
      <c r="H6" s="260"/>
      <c r="I6" s="94" t="s">
        <v>7</v>
      </c>
    </row>
    <row r="7" spans="1:12" ht="24" customHeight="1" thickBot="1" x14ac:dyDescent="0.35">
      <c r="C7" s="16"/>
      <c r="D7" s="19"/>
      <c r="E7" s="113" t="s">
        <v>146</v>
      </c>
      <c r="F7" s="285" t="s">
        <v>151</v>
      </c>
      <c r="G7" s="286"/>
      <c r="H7" s="287"/>
      <c r="I7" s="114">
        <f>'B1 Water Meter Supply'!L20</f>
        <v>0</v>
      </c>
    </row>
    <row r="8" spans="1:12" ht="24" customHeight="1" thickBot="1" x14ac:dyDescent="0.35">
      <c r="A8" s="3"/>
      <c r="B8" s="3"/>
      <c r="C8" s="18"/>
      <c r="D8" s="19"/>
      <c r="E8" s="113" t="s">
        <v>294</v>
      </c>
      <c r="F8" s="288" t="s">
        <v>295</v>
      </c>
      <c r="G8" s="289"/>
      <c r="H8" s="290"/>
      <c r="I8" s="115">
        <f>'B2 AMI Network &amp; Radio'!N27</f>
        <v>0</v>
      </c>
    </row>
    <row r="9" spans="1:12" ht="24" customHeight="1" thickBot="1" x14ac:dyDescent="0.35">
      <c r="A9" s="3"/>
      <c r="B9" s="3"/>
      <c r="C9" s="18"/>
      <c r="D9" s="19"/>
      <c r="E9" s="113" t="s">
        <v>147</v>
      </c>
      <c r="F9" s="288" t="s">
        <v>296</v>
      </c>
      <c r="G9" s="289"/>
      <c r="H9" s="290"/>
      <c r="I9" s="115">
        <f>+'B3 Software Impl &amp; Training'!J17</f>
        <v>0</v>
      </c>
    </row>
    <row r="10" spans="1:12" ht="22.95" customHeight="1" thickBot="1" x14ac:dyDescent="0.35">
      <c r="E10" s="113" t="s">
        <v>148</v>
      </c>
      <c r="F10" s="288" t="s">
        <v>297</v>
      </c>
      <c r="G10" s="289"/>
      <c r="H10" s="290"/>
      <c r="I10" s="116">
        <f>+'B4 Product Supply for City Use '!M25</f>
        <v>0</v>
      </c>
    </row>
    <row r="11" spans="1:12" ht="24" customHeight="1" thickBot="1" x14ac:dyDescent="0.35">
      <c r="A11" s="3"/>
      <c r="B11" s="3"/>
      <c r="C11" s="18"/>
      <c r="D11" s="19"/>
      <c r="E11" s="261" t="str">
        <f>+"Total "&amp;E5&amp;" (CDN$)"</f>
        <v>Total Initial Capital Costs - B1, B2, B3, B4 (CDN$)</v>
      </c>
      <c r="F11" s="262"/>
      <c r="G11" s="262"/>
      <c r="H11" s="263"/>
      <c r="I11" s="87">
        <f>+SUM(I7:I10)</f>
        <v>0</v>
      </c>
    </row>
    <row r="12" spans="1:12" ht="24" customHeight="1" thickBot="1" x14ac:dyDescent="0.35">
      <c r="A12" s="3"/>
      <c r="B12" s="3"/>
      <c r="C12" s="18"/>
      <c r="D12" s="19"/>
      <c r="E12" s="22"/>
      <c r="F12" s="22"/>
      <c r="G12" s="22"/>
      <c r="H12" s="22"/>
      <c r="I12" s="26"/>
    </row>
    <row r="13" spans="1:12" ht="21.6" thickBot="1" x14ac:dyDescent="0.35">
      <c r="A13" s="3"/>
      <c r="B13" s="3"/>
      <c r="C13" s="18"/>
      <c r="D13" s="19"/>
      <c r="E13" s="241" t="s">
        <v>519</v>
      </c>
      <c r="F13" s="242"/>
      <c r="G13" s="242"/>
      <c r="H13" s="242"/>
      <c r="I13" s="243"/>
    </row>
    <row r="14" spans="1:12" ht="23.85" customHeight="1" thickBot="1" x14ac:dyDescent="0.35">
      <c r="E14" s="119" t="s">
        <v>149</v>
      </c>
      <c r="F14" s="291" t="s">
        <v>518</v>
      </c>
      <c r="G14" s="291"/>
      <c r="H14" s="291"/>
      <c r="I14" s="121">
        <f>'B6 Life Cycle Cost'!E141</f>
        <v>0</v>
      </c>
    </row>
    <row r="15" spans="1:12" ht="24" customHeight="1" thickBot="1" x14ac:dyDescent="0.35">
      <c r="E15" s="261" t="s">
        <v>522</v>
      </c>
      <c r="F15" s="262"/>
      <c r="G15" s="262"/>
      <c r="H15" s="263"/>
      <c r="I15" s="87">
        <f>SUM(I14:I14)</f>
        <v>0</v>
      </c>
    </row>
    <row r="16" spans="1:12" ht="24" customHeight="1" thickBot="1" x14ac:dyDescent="0.35">
      <c r="E16" s="46"/>
      <c r="F16" s="46"/>
      <c r="G16" s="46"/>
      <c r="H16" s="46"/>
      <c r="I16" s="47"/>
    </row>
    <row r="17" spans="5:9" ht="21.6" thickBot="1" x14ac:dyDescent="0.35">
      <c r="E17" s="292" t="s">
        <v>523</v>
      </c>
      <c r="F17" s="293"/>
      <c r="G17" s="293"/>
      <c r="H17" s="293"/>
      <c r="I17" s="294"/>
    </row>
    <row r="18" spans="5:9" ht="16.2" thickBot="1" x14ac:dyDescent="0.35">
      <c r="E18" s="2" t="s">
        <v>5</v>
      </c>
      <c r="F18" s="295" t="s">
        <v>6</v>
      </c>
      <c r="G18" s="296"/>
      <c r="H18" s="297"/>
      <c r="I18" s="6" t="s">
        <v>7</v>
      </c>
    </row>
    <row r="19" spans="5:9" ht="19.5" customHeight="1" thickBot="1" x14ac:dyDescent="0.35">
      <c r="E19" s="261" t="str">
        <f>+E17&amp;" (CDN$)"</f>
        <v>5 Year Solution Cost (CDN$)</v>
      </c>
      <c r="F19" s="262"/>
      <c r="G19" s="262"/>
      <c r="H19" s="263"/>
      <c r="I19" s="87">
        <f>+I11+I15</f>
        <v>0</v>
      </c>
    </row>
    <row r="20" spans="5:9" ht="18.600000000000001" hidden="1" thickBot="1" x14ac:dyDescent="0.35">
      <c r="E20" s="298" t="s">
        <v>9</v>
      </c>
      <c r="F20" s="299"/>
      <c r="G20" s="299"/>
      <c r="H20" s="300"/>
      <c r="I20" s="87">
        <f>+I19*0.13</f>
        <v>0</v>
      </c>
    </row>
    <row r="21" spans="5:9" ht="19.5" hidden="1" customHeight="1" thickBot="1" x14ac:dyDescent="0.35">
      <c r="E21" s="261" t="str">
        <f>+E19</f>
        <v>5 Year Solution Cost (CDN$)</v>
      </c>
      <c r="F21" s="262"/>
      <c r="G21" s="262"/>
      <c r="H21" s="263"/>
      <c r="I21" s="87">
        <f>SUM(I19:I20)</f>
        <v>0</v>
      </c>
    </row>
    <row r="22" spans="5:9" ht="19.5" customHeight="1" thickBot="1" x14ac:dyDescent="0.35">
      <c r="E22" s="46"/>
      <c r="F22" s="46"/>
      <c r="G22" s="46"/>
      <c r="H22" s="46"/>
      <c r="I22" s="203"/>
    </row>
    <row r="23" spans="5:9" ht="19.5" customHeight="1" thickBot="1" x14ac:dyDescent="0.35">
      <c r="E23" s="292" t="s">
        <v>475</v>
      </c>
      <c r="F23" s="293"/>
      <c r="G23" s="293"/>
      <c r="H23" s="293"/>
      <c r="I23" s="294"/>
    </row>
    <row r="24" spans="5:9" ht="19.5" customHeight="1" thickBot="1" x14ac:dyDescent="0.35">
      <c r="E24" s="2" t="s">
        <v>5</v>
      </c>
      <c r="F24" s="295" t="s">
        <v>6</v>
      </c>
      <c r="G24" s="296"/>
      <c r="H24" s="297"/>
      <c r="I24" s="6" t="s">
        <v>7</v>
      </c>
    </row>
    <row r="25" spans="5:9" ht="19.5" customHeight="1" thickBot="1" x14ac:dyDescent="0.35">
      <c r="E25" s="119" t="s">
        <v>149</v>
      </c>
      <c r="F25" s="302" t="s">
        <v>528</v>
      </c>
      <c r="G25" s="303"/>
      <c r="H25" s="304"/>
      <c r="I25" s="120">
        <f>'B6 Life Cycle Cost'!E142</f>
        <v>0</v>
      </c>
    </row>
    <row r="26" spans="5:9" ht="19.5" customHeight="1" thickBot="1" x14ac:dyDescent="0.35">
      <c r="E26" s="119" t="s">
        <v>149</v>
      </c>
      <c r="F26" s="302" t="s">
        <v>477</v>
      </c>
      <c r="G26" s="303"/>
      <c r="H26" s="304"/>
      <c r="I26" s="120">
        <f>'B6 Life Cycle Cost'!E156</f>
        <v>0</v>
      </c>
    </row>
    <row r="27" spans="5:9" ht="19.5" customHeight="1" thickBot="1" x14ac:dyDescent="0.35">
      <c r="E27" s="119" t="s">
        <v>149</v>
      </c>
      <c r="F27" s="302" t="s">
        <v>460</v>
      </c>
      <c r="G27" s="303"/>
      <c r="H27" s="304"/>
      <c r="I27" s="120">
        <f>'B6 Life Cycle Cost'!E157</f>
        <v>0</v>
      </c>
    </row>
    <row r="28" spans="5:9" ht="19.5" customHeight="1" thickBot="1" x14ac:dyDescent="0.35">
      <c r="E28" s="119" t="s">
        <v>149</v>
      </c>
      <c r="F28" s="302" t="s">
        <v>461</v>
      </c>
      <c r="G28" s="303"/>
      <c r="H28" s="304"/>
      <c r="I28" s="120">
        <f>'B6 Life Cycle Cost'!E158</f>
        <v>0</v>
      </c>
    </row>
    <row r="29" spans="5:9" ht="19.5" customHeight="1" thickBot="1" x14ac:dyDescent="0.35">
      <c r="E29" s="261" t="str">
        <f>+E23&amp;" (CDN$)"</f>
        <v>Operational and Warranty Impacts  (CDN$)</v>
      </c>
      <c r="F29" s="262"/>
      <c r="G29" s="262"/>
      <c r="H29" s="263"/>
      <c r="I29" s="87">
        <f>SUM(I25:I28)</f>
        <v>0</v>
      </c>
    </row>
    <row r="30" spans="5:9" ht="19.5" customHeight="1" thickBot="1" x14ac:dyDescent="0.35">
      <c r="E30" s="261"/>
      <c r="F30" s="262"/>
      <c r="G30" s="262"/>
      <c r="H30" s="263"/>
      <c r="I30" s="203"/>
    </row>
    <row r="31" spans="5:9" ht="18.600000000000001" thickBot="1" x14ac:dyDescent="0.35">
      <c r="E31" s="261" t="str">
        <f>"Total Solution Cost" &amp;" (CDN$)"</f>
        <v>Total Solution Cost (CDN$)</v>
      </c>
      <c r="F31" s="262"/>
      <c r="G31" s="262"/>
      <c r="H31" s="263"/>
      <c r="I31" s="207">
        <f>I19+I29</f>
        <v>0</v>
      </c>
    </row>
    <row r="32" spans="5:9" ht="44.25" customHeight="1" thickBot="1" x14ac:dyDescent="0.35">
      <c r="E32" s="301" t="s">
        <v>508</v>
      </c>
      <c r="F32" s="301"/>
      <c r="G32" s="301"/>
      <c r="H32" s="301"/>
      <c r="I32" s="301"/>
    </row>
    <row r="33" spans="2:16" ht="21.75" customHeight="1" thickBot="1" x14ac:dyDescent="0.35">
      <c r="E33" s="241" t="s">
        <v>300</v>
      </c>
      <c r="F33" s="242"/>
      <c r="G33" s="242"/>
      <c r="H33" s="242"/>
      <c r="I33" s="243"/>
    </row>
    <row r="34" spans="2:16" ht="16.2" thickBot="1" x14ac:dyDescent="0.35">
      <c r="E34" s="36" t="s">
        <v>5</v>
      </c>
      <c r="F34" s="258" t="s">
        <v>6</v>
      </c>
      <c r="G34" s="259"/>
      <c r="H34" s="260"/>
      <c r="I34" s="37" t="s">
        <v>7</v>
      </c>
    </row>
    <row r="35" spans="2:16" ht="24" customHeight="1" thickBot="1" x14ac:dyDescent="0.35">
      <c r="B35" s="122"/>
      <c r="C35" s="122"/>
      <c r="D35" s="122"/>
      <c r="E35" s="117" t="s">
        <v>150</v>
      </c>
      <c r="F35" s="264" t="s">
        <v>299</v>
      </c>
      <c r="G35" s="265"/>
      <c r="H35" s="266"/>
      <c r="I35" s="118">
        <f>+'B7 Optional'!J14</f>
        <v>0</v>
      </c>
    </row>
    <row r="36" spans="2:16" ht="24" customHeight="1" thickBot="1" x14ac:dyDescent="0.35">
      <c r="B36" s="122"/>
      <c r="C36" s="122"/>
      <c r="D36" s="122"/>
      <c r="E36" s="261" t="str">
        <f>+E33&amp;" (CDN$)"</f>
        <v>Total Optional B7 (CDN$)</v>
      </c>
      <c r="F36" s="262"/>
      <c r="G36" s="262"/>
      <c r="H36" s="263"/>
      <c r="I36" s="20">
        <f>+SUM(I35:I35)</f>
        <v>0</v>
      </c>
    </row>
    <row r="37" spans="2:16" ht="24" hidden="1" customHeight="1" thickBot="1" x14ac:dyDescent="0.35">
      <c r="B37" s="122"/>
      <c r="C37" s="122"/>
      <c r="D37" s="122"/>
      <c r="E37" s="298" t="s">
        <v>9</v>
      </c>
      <c r="F37" s="299"/>
      <c r="G37" s="299"/>
      <c r="H37" s="300"/>
      <c r="I37" s="20">
        <f>+I36*0.06</f>
        <v>0</v>
      </c>
    </row>
    <row r="38" spans="2:16" ht="24" hidden="1" customHeight="1" thickBot="1" x14ac:dyDescent="0.35">
      <c r="B38" s="122"/>
      <c r="C38" s="122"/>
      <c r="D38" s="122"/>
      <c r="E38" s="261" t="str">
        <f>+E36&amp;" (HST)"</f>
        <v>Total Optional B7 (CDN$) (HST)</v>
      </c>
      <c r="F38" s="262"/>
      <c r="G38" s="262"/>
      <c r="H38" s="263"/>
      <c r="I38" s="20">
        <f>+I37+I36</f>
        <v>0</v>
      </c>
    </row>
    <row r="39" spans="2:16" ht="24" hidden="1" thickBot="1" x14ac:dyDescent="0.35">
      <c r="B39" s="238" t="s">
        <v>10</v>
      </c>
      <c r="C39" s="239"/>
      <c r="D39" s="239"/>
      <c r="E39" s="239"/>
      <c r="F39" s="239"/>
      <c r="G39" s="239"/>
      <c r="H39" s="239"/>
      <c r="I39" s="240"/>
    </row>
    <row r="40" spans="2:16" ht="15" hidden="1" thickBot="1" x14ac:dyDescent="0.35">
      <c r="B40" s="122"/>
      <c r="C40" s="122"/>
      <c r="D40" s="122"/>
      <c r="E40" s="267"/>
      <c r="F40" s="267"/>
      <c r="G40" s="267"/>
      <c r="H40" s="267"/>
      <c r="I40" s="267"/>
    </row>
    <row r="41" spans="2:16" ht="21.75" hidden="1" customHeight="1" thickBot="1" x14ac:dyDescent="0.35">
      <c r="B41" s="122"/>
      <c r="C41" s="122"/>
      <c r="D41" s="122"/>
      <c r="E41" s="241" t="s">
        <v>11</v>
      </c>
      <c r="F41" s="242"/>
      <c r="G41" s="242"/>
      <c r="H41" s="242"/>
      <c r="I41" s="243"/>
    </row>
    <row r="42" spans="2:16" ht="16.2" hidden="1" customHeight="1" thickBot="1" x14ac:dyDescent="0.35">
      <c r="B42" s="122"/>
      <c r="C42" s="122"/>
      <c r="D42" s="122"/>
      <c r="E42" s="36" t="s">
        <v>5</v>
      </c>
      <c r="F42" s="258" t="s">
        <v>6</v>
      </c>
      <c r="G42" s="259"/>
      <c r="H42" s="260"/>
      <c r="I42" s="37" t="s">
        <v>7</v>
      </c>
      <c r="O42" s="102"/>
    </row>
    <row r="43" spans="2:16" ht="24" hidden="1" customHeight="1" thickBot="1" x14ac:dyDescent="0.35">
      <c r="B43" s="122"/>
      <c r="C43" s="122"/>
      <c r="D43" s="122"/>
      <c r="E43" s="100" t="s">
        <v>12</v>
      </c>
      <c r="F43" s="124"/>
      <c r="G43" s="268" t="s">
        <v>13</v>
      </c>
      <c r="H43" s="269"/>
      <c r="I43" s="125" t="e">
        <f>+#REF!</f>
        <v>#REF!</v>
      </c>
      <c r="M43" s="306"/>
      <c r="N43" s="306"/>
      <c r="O43" s="68"/>
    </row>
    <row r="44" spans="2:16" ht="24" hidden="1" customHeight="1" thickBot="1" x14ac:dyDescent="0.35">
      <c r="B44" s="122"/>
      <c r="C44" s="122"/>
      <c r="D44" s="122"/>
      <c r="E44" s="100" t="s">
        <v>14</v>
      </c>
      <c r="F44" s="124"/>
      <c r="G44" s="268" t="s">
        <v>15</v>
      </c>
      <c r="H44" s="269"/>
      <c r="I44" s="125" t="e">
        <f>+#REF!</f>
        <v>#REF!</v>
      </c>
      <c r="M44" s="306"/>
      <c r="N44" s="306"/>
      <c r="O44" s="68"/>
    </row>
    <row r="45" spans="2:16" ht="24" hidden="1" customHeight="1" thickBot="1" x14ac:dyDescent="0.35">
      <c r="B45" s="122"/>
      <c r="C45" s="122"/>
      <c r="D45" s="122"/>
      <c r="E45" s="100" t="s">
        <v>16</v>
      </c>
      <c r="F45" s="124"/>
      <c r="G45" s="268" t="s">
        <v>17</v>
      </c>
      <c r="H45" s="269"/>
      <c r="I45" s="125" t="e">
        <f>+#REF!</f>
        <v>#REF!</v>
      </c>
      <c r="M45" s="306"/>
      <c r="N45" s="306"/>
      <c r="O45" s="305"/>
      <c r="P45" s="305"/>
    </row>
    <row r="46" spans="2:16" ht="24" hidden="1" customHeight="1" thickBot="1" x14ac:dyDescent="0.35">
      <c r="B46" s="122"/>
      <c r="C46" s="122"/>
      <c r="D46" s="122"/>
      <c r="E46" s="100" t="s">
        <v>18</v>
      </c>
      <c r="F46" s="124"/>
      <c r="G46" s="268" t="s">
        <v>19</v>
      </c>
      <c r="H46" s="269"/>
      <c r="I46" s="125" t="e">
        <f>+#REF!</f>
        <v>#REF!</v>
      </c>
      <c r="M46" s="306"/>
      <c r="N46" s="306"/>
      <c r="O46" s="68"/>
    </row>
    <row r="47" spans="2:16" ht="24" hidden="1" customHeight="1" thickBot="1" x14ac:dyDescent="0.35">
      <c r="B47" s="122"/>
      <c r="C47" s="122"/>
      <c r="D47" s="122"/>
      <c r="E47" s="100" t="s">
        <v>20</v>
      </c>
      <c r="F47" s="124"/>
      <c r="G47" s="268" t="s">
        <v>21</v>
      </c>
      <c r="H47" s="269"/>
      <c r="I47" s="125" t="e">
        <f>+#REF!</f>
        <v>#REF!</v>
      </c>
    </row>
    <row r="48" spans="2:16" ht="24" hidden="1" customHeight="1" thickBot="1" x14ac:dyDescent="0.35">
      <c r="B48" s="122"/>
      <c r="C48" s="122"/>
      <c r="D48" s="122"/>
      <c r="E48" s="246" t="str">
        <f>+"Total "&amp;E41&amp;" (CAN$)"</f>
        <v>Total Alternatives ALT1, ALT2, ALT3, ALT4, ALT5 (CAN$)</v>
      </c>
      <c r="F48" s="247"/>
      <c r="G48" s="247"/>
      <c r="H48" s="248"/>
      <c r="I48" s="127" t="e">
        <f>+SUM(I43:I47)</f>
        <v>#REF!</v>
      </c>
    </row>
    <row r="49" spans="1:9" ht="24" hidden="1" customHeight="1" thickBot="1" x14ac:dyDescent="0.35">
      <c r="B49" s="122"/>
      <c r="C49" s="122"/>
      <c r="D49" s="122"/>
      <c r="E49" s="128"/>
      <c r="F49" s="129"/>
      <c r="G49" s="130"/>
      <c r="H49" s="130"/>
      <c r="I49" s="131"/>
    </row>
    <row r="50" spans="1:9" ht="21.6" hidden="1" thickBot="1" x14ac:dyDescent="0.35">
      <c r="A50" s="3"/>
      <c r="B50" s="3"/>
      <c r="C50" s="123"/>
      <c r="D50" s="19"/>
      <c r="E50" s="241" t="s">
        <v>22</v>
      </c>
      <c r="F50" s="242"/>
      <c r="G50" s="242"/>
      <c r="H50" s="242"/>
      <c r="I50" s="243"/>
    </row>
    <row r="51" spans="1:9" ht="24" hidden="1" customHeight="1" thickBot="1" x14ac:dyDescent="0.35">
      <c r="B51" s="122"/>
      <c r="C51" s="122"/>
      <c r="D51" s="122"/>
      <c r="E51" s="32" t="s">
        <v>23</v>
      </c>
      <c r="F51" s="124"/>
      <c r="G51" s="244" t="s">
        <v>24</v>
      </c>
      <c r="H51" s="245"/>
      <c r="I51" s="132" t="e">
        <f>+#REF!</f>
        <v>#REF!</v>
      </c>
    </row>
    <row r="52" spans="1:9" ht="24" hidden="1" customHeight="1" thickBot="1" x14ac:dyDescent="0.35">
      <c r="B52" s="122"/>
      <c r="C52" s="122"/>
      <c r="D52" s="122"/>
      <c r="E52" s="32" t="s">
        <v>25</v>
      </c>
      <c r="F52" s="124"/>
      <c r="G52" s="244" t="s">
        <v>26</v>
      </c>
      <c r="H52" s="245"/>
      <c r="I52" s="127" t="e">
        <f>+#REF!</f>
        <v>#REF!</v>
      </c>
    </row>
    <row r="53" spans="1:9" ht="24" hidden="1" customHeight="1" thickBot="1" x14ac:dyDescent="0.35">
      <c r="B53" s="122"/>
      <c r="C53" s="122"/>
      <c r="D53" s="122"/>
      <c r="E53" s="32" t="s">
        <v>27</v>
      </c>
      <c r="F53" s="133"/>
      <c r="G53" s="244" t="s">
        <v>28</v>
      </c>
      <c r="H53" s="245"/>
      <c r="I53" s="127" t="e">
        <f>+#REF!</f>
        <v>#REF!</v>
      </c>
    </row>
    <row r="54" spans="1:9" ht="24" hidden="1" customHeight="1" thickBot="1" x14ac:dyDescent="0.35">
      <c r="B54" s="122"/>
      <c r="C54" s="122"/>
      <c r="D54" s="122"/>
      <c r="E54" s="246" t="str">
        <f>+"Total "&amp;E50&amp;" (CAN$)"</f>
        <v>Total Life Cycle Cost - ALT6, ALT7, ALT8 (CAN$)</v>
      </c>
      <c r="F54" s="247"/>
      <c r="G54" s="247"/>
      <c r="H54" s="248"/>
      <c r="I54" s="127" t="e">
        <f>SUM(I51:I53)</f>
        <v>#REF!</v>
      </c>
    </row>
    <row r="55" spans="1:9" ht="24" hidden="1" customHeight="1" thickBot="1" x14ac:dyDescent="0.35">
      <c r="B55" s="122"/>
      <c r="C55" s="122"/>
      <c r="D55" s="122"/>
      <c r="E55" s="134"/>
      <c r="F55" s="134"/>
      <c r="G55" s="134"/>
      <c r="H55" s="134"/>
      <c r="I55" s="134"/>
    </row>
    <row r="56" spans="1:9" ht="21.6" hidden="1" thickBot="1" x14ac:dyDescent="0.35">
      <c r="B56" s="122"/>
      <c r="C56" s="122"/>
      <c r="D56" s="122"/>
      <c r="E56" s="249" t="s">
        <v>8</v>
      </c>
      <c r="F56" s="250"/>
      <c r="G56" s="250"/>
      <c r="H56" s="250"/>
      <c r="I56" s="251"/>
    </row>
    <row r="57" spans="1:9" ht="16.2" hidden="1" thickBot="1" x14ac:dyDescent="0.35">
      <c r="B57" s="122"/>
      <c r="C57" s="122"/>
      <c r="D57" s="122"/>
      <c r="E57" s="135" t="s">
        <v>5</v>
      </c>
      <c r="F57" s="252" t="s">
        <v>6</v>
      </c>
      <c r="G57" s="253"/>
      <c r="H57" s="254"/>
      <c r="I57" s="136" t="s">
        <v>7</v>
      </c>
    </row>
    <row r="58" spans="1:9" ht="24" hidden="1" customHeight="1" thickBot="1" x14ac:dyDescent="0.35">
      <c r="B58" s="122"/>
      <c r="C58" s="122"/>
      <c r="D58" s="122"/>
      <c r="E58" s="246" t="str">
        <f>+E56&amp;" (CAN$)"</f>
        <v>Total Solution Cost (CAN$)</v>
      </c>
      <c r="F58" s="247"/>
      <c r="G58" s="247"/>
      <c r="H58" s="248"/>
      <c r="I58" s="127" t="e">
        <f>+I48+I54</f>
        <v>#REF!</v>
      </c>
    </row>
    <row r="59" spans="1:9" ht="24" hidden="1" customHeight="1" thickBot="1" x14ac:dyDescent="0.35">
      <c r="B59" s="122"/>
      <c r="C59" s="122"/>
      <c r="D59" s="122"/>
      <c r="E59" s="255" t="s">
        <v>9</v>
      </c>
      <c r="F59" s="256"/>
      <c r="G59" s="256"/>
      <c r="H59" s="257"/>
      <c r="I59" s="127" t="e">
        <f>+I58*0.06</f>
        <v>#REF!</v>
      </c>
    </row>
    <row r="60" spans="1:9" ht="24" hidden="1" customHeight="1" thickBot="1" x14ac:dyDescent="0.35">
      <c r="B60" s="122"/>
      <c r="C60" s="122"/>
      <c r="D60" s="122"/>
      <c r="E60" s="246" t="str">
        <f>+E58&amp;"(HST)"</f>
        <v>Total Solution Cost (CAN$)(HST)</v>
      </c>
      <c r="F60" s="247"/>
      <c r="G60" s="247"/>
      <c r="H60" s="248"/>
      <c r="I60" s="127" t="e">
        <f>SUM(I58:I59)</f>
        <v>#REF!</v>
      </c>
    </row>
    <row r="61" spans="1:9" ht="19.5" hidden="1" customHeight="1" thickBot="1" x14ac:dyDescent="0.35">
      <c r="B61" s="122"/>
      <c r="C61" s="122"/>
      <c r="D61" s="122"/>
      <c r="E61" s="126"/>
      <c r="F61" s="126"/>
      <c r="G61" s="126"/>
      <c r="H61" s="126"/>
      <c r="I61" s="131"/>
    </row>
    <row r="62" spans="1:9" ht="21.75" hidden="1" customHeight="1" thickBot="1" x14ac:dyDescent="0.35">
      <c r="B62" s="122"/>
      <c r="C62" s="122"/>
      <c r="D62" s="122"/>
      <c r="E62" s="241" t="s">
        <v>29</v>
      </c>
      <c r="F62" s="242"/>
      <c r="G62" s="242"/>
      <c r="H62" s="242"/>
      <c r="I62" s="243"/>
    </row>
    <row r="63" spans="1:9" ht="16.2" hidden="1" thickBot="1" x14ac:dyDescent="0.35">
      <c r="B63" s="122"/>
      <c r="C63" s="122"/>
      <c r="D63" s="122"/>
      <c r="E63" s="36" t="s">
        <v>5</v>
      </c>
      <c r="F63" s="258" t="s">
        <v>6</v>
      </c>
      <c r="G63" s="259"/>
      <c r="H63" s="260"/>
      <c r="I63" s="37" t="s">
        <v>7</v>
      </c>
    </row>
    <row r="64" spans="1:9" ht="24" hidden="1" customHeight="1" thickBot="1" x14ac:dyDescent="0.35">
      <c r="B64" s="122"/>
      <c r="C64" s="122"/>
      <c r="D64" s="122"/>
      <c r="E64" s="100" t="s">
        <v>30</v>
      </c>
      <c r="F64" s="124"/>
      <c r="G64" s="244" t="s">
        <v>31</v>
      </c>
      <c r="H64" s="245"/>
      <c r="I64" s="125" t="e">
        <f>+#REF!</f>
        <v>#REF!</v>
      </c>
    </row>
    <row r="65" spans="2:9" ht="24" hidden="1" customHeight="1" thickBot="1" x14ac:dyDescent="0.35">
      <c r="B65" s="122"/>
      <c r="C65" s="122"/>
      <c r="D65" s="122"/>
      <c r="E65" s="246" t="str">
        <f>+E62&amp;" (CAN$)"</f>
        <v>Total Optional ALT9 (CAN$)</v>
      </c>
      <c r="F65" s="247"/>
      <c r="G65" s="247"/>
      <c r="H65" s="248"/>
      <c r="I65" s="125" t="e">
        <f>+SUM(I64)</f>
        <v>#REF!</v>
      </c>
    </row>
    <row r="66" spans="2:9" ht="24" hidden="1" customHeight="1" thickBot="1" x14ac:dyDescent="0.35">
      <c r="B66" s="122"/>
      <c r="C66" s="122"/>
      <c r="D66" s="122"/>
      <c r="E66" s="255" t="s">
        <v>9</v>
      </c>
      <c r="F66" s="256"/>
      <c r="G66" s="256"/>
      <c r="H66" s="257"/>
      <c r="I66" s="125" t="e">
        <f>+I65*0.06</f>
        <v>#REF!</v>
      </c>
    </row>
    <row r="67" spans="2:9" ht="24" hidden="1" customHeight="1" thickBot="1" x14ac:dyDescent="0.35">
      <c r="B67" s="122"/>
      <c r="C67" s="122"/>
      <c r="D67" s="122"/>
      <c r="E67" s="246" t="str">
        <f>+E65&amp;" (HST)"</f>
        <v>Total Optional ALT9 (CAN$) (HST)</v>
      </c>
      <c r="F67" s="247"/>
      <c r="G67" s="247"/>
      <c r="H67" s="248"/>
      <c r="I67" s="125" t="e">
        <f>+I66+I65</f>
        <v>#REF!</v>
      </c>
    </row>
    <row r="69" spans="2:9" x14ac:dyDescent="0.3">
      <c r="E69" s="307" t="s">
        <v>32</v>
      </c>
      <c r="F69" s="307"/>
      <c r="G69" s="307"/>
      <c r="H69" s="307"/>
      <c r="I69" s="307"/>
    </row>
    <row r="70" spans="2:9" ht="25.5" customHeight="1" thickBot="1" x14ac:dyDescent="0.35">
      <c r="E70" s="39" t="s">
        <v>33</v>
      </c>
      <c r="F70" s="308"/>
      <c r="G70" s="309"/>
      <c r="H70" s="309"/>
      <c r="I70" s="138"/>
    </row>
    <row r="71" spans="2:9" ht="25.5" customHeight="1" thickBot="1" x14ac:dyDescent="0.35">
      <c r="E71" s="39" t="s">
        <v>34</v>
      </c>
      <c r="F71" s="310"/>
      <c r="G71" s="310"/>
      <c r="H71" s="310"/>
      <c r="I71" s="310"/>
    </row>
    <row r="72" spans="2:9" ht="25.5" customHeight="1" thickBot="1" x14ac:dyDescent="0.35">
      <c r="E72" s="39" t="s">
        <v>35</v>
      </c>
      <c r="F72" s="138"/>
      <c r="G72" s="40" t="s">
        <v>36</v>
      </c>
      <c r="H72" s="311"/>
      <c r="I72" s="310"/>
    </row>
    <row r="73" spans="2:9" ht="25.5" customHeight="1" thickBot="1" x14ac:dyDescent="0.35">
      <c r="E73" s="39" t="s">
        <v>37</v>
      </c>
      <c r="G73" s="308"/>
      <c r="H73" s="308"/>
      <c r="I73" s="308"/>
    </row>
    <row r="74" spans="2:9" ht="27.75" customHeight="1" x14ac:dyDescent="0.3">
      <c r="E74" s="39"/>
      <c r="G74" s="314" t="s">
        <v>38</v>
      </c>
      <c r="H74" s="314"/>
      <c r="I74" s="314"/>
    </row>
    <row r="75" spans="2:9" ht="15" thickBot="1" x14ac:dyDescent="0.35">
      <c r="E75" s="39" t="s">
        <v>39</v>
      </c>
      <c r="F75" s="308"/>
      <c r="G75" s="308"/>
      <c r="H75" s="40" t="s">
        <v>40</v>
      </c>
      <c r="I75" s="139"/>
    </row>
    <row r="76" spans="2:9" x14ac:dyDescent="0.3">
      <c r="E76" s="315" t="s">
        <v>41</v>
      </c>
      <c r="F76" s="315"/>
      <c r="G76" s="315"/>
      <c r="H76" s="315"/>
      <c r="I76" s="315"/>
    </row>
    <row r="77" spans="2:9" x14ac:dyDescent="0.3">
      <c r="E77" s="312" t="s">
        <v>42</v>
      </c>
      <c r="F77" s="312"/>
      <c r="G77" s="312"/>
      <c r="H77" s="312"/>
      <c r="I77" s="312"/>
    </row>
    <row r="78" spans="2:9" x14ac:dyDescent="0.3">
      <c r="E78" s="312" t="s">
        <v>43</v>
      </c>
      <c r="F78" s="312"/>
      <c r="G78" s="312"/>
      <c r="H78" s="312"/>
      <c r="I78" s="312"/>
    </row>
    <row r="79" spans="2:9" x14ac:dyDescent="0.3">
      <c r="E79" s="312" t="s">
        <v>44</v>
      </c>
      <c r="F79" s="312"/>
      <c r="G79" s="312"/>
      <c r="H79" s="312"/>
      <c r="I79" s="312"/>
    </row>
    <row r="80" spans="2:9" x14ac:dyDescent="0.3">
      <c r="E80" s="313" t="s">
        <v>45</v>
      </c>
      <c r="F80" s="313"/>
      <c r="G80" s="313"/>
      <c r="H80" s="313"/>
      <c r="I80" s="313"/>
    </row>
  </sheetData>
  <sheetProtection algorithmName="SHA-512" hashValue="wD/Vc3K+62KT6lNK8zhYMiYsuKVcS4RgeJwCcOTLdedkLJxp72/nShUdq0HUb9yJ7sIsc0zruMtwuAKZHWnZEw==" saltValue="PZlC1K02b7WDqxhx39zvxA==" spinCount="100000" sheet="1" objects="1" scenarios="1"/>
  <mergeCells count="82">
    <mergeCell ref="E79:I79"/>
    <mergeCell ref="E80:I80"/>
    <mergeCell ref="G74:I74"/>
    <mergeCell ref="F75:G75"/>
    <mergeCell ref="E76:I76"/>
    <mergeCell ref="E77:I77"/>
    <mergeCell ref="E78:I78"/>
    <mergeCell ref="E69:I69"/>
    <mergeCell ref="F70:H70"/>
    <mergeCell ref="F71:I71"/>
    <mergeCell ref="H72:I72"/>
    <mergeCell ref="G73:I73"/>
    <mergeCell ref="O45:P45"/>
    <mergeCell ref="M43:N43"/>
    <mergeCell ref="M44:N44"/>
    <mergeCell ref="M45:N45"/>
    <mergeCell ref="M46:N46"/>
    <mergeCell ref="E17:I17"/>
    <mergeCell ref="F18:H18"/>
    <mergeCell ref="E19:H19"/>
    <mergeCell ref="E20:H20"/>
    <mergeCell ref="E37:H37"/>
    <mergeCell ref="E21:H21"/>
    <mergeCell ref="E32:I32"/>
    <mergeCell ref="E23:I23"/>
    <mergeCell ref="F24:H24"/>
    <mergeCell ref="E29:H29"/>
    <mergeCell ref="F25:H25"/>
    <mergeCell ref="F27:H27"/>
    <mergeCell ref="F28:H28"/>
    <mergeCell ref="F26:H26"/>
    <mergeCell ref="E30:H30"/>
    <mergeCell ref="E31:H31"/>
    <mergeCell ref="F8:H8"/>
    <mergeCell ref="E15:H15"/>
    <mergeCell ref="F10:H10"/>
    <mergeCell ref="F9:H9"/>
    <mergeCell ref="E11:H11"/>
    <mergeCell ref="E13:I13"/>
    <mergeCell ref="F14:H14"/>
    <mergeCell ref="E4:I4"/>
    <mergeCell ref="E5:I5"/>
    <mergeCell ref="F6:H6"/>
    <mergeCell ref="F7:H7"/>
    <mergeCell ref="B4:D4"/>
    <mergeCell ref="E1:I1"/>
    <mergeCell ref="E2:I2"/>
    <mergeCell ref="E3:I3"/>
    <mergeCell ref="B1:D1"/>
    <mergeCell ref="B2:D2"/>
    <mergeCell ref="B3:D3"/>
    <mergeCell ref="G51:H51"/>
    <mergeCell ref="E48:H48"/>
    <mergeCell ref="E40:I40"/>
    <mergeCell ref="E41:I41"/>
    <mergeCell ref="G44:H44"/>
    <mergeCell ref="G45:H45"/>
    <mergeCell ref="G46:H46"/>
    <mergeCell ref="G47:H47"/>
    <mergeCell ref="F42:H42"/>
    <mergeCell ref="G43:H43"/>
    <mergeCell ref="E38:H38"/>
    <mergeCell ref="E33:I33"/>
    <mergeCell ref="F34:H34"/>
    <mergeCell ref="F35:H35"/>
    <mergeCell ref="E36:H36"/>
    <mergeCell ref="B39:I39"/>
    <mergeCell ref="E50:I50"/>
    <mergeCell ref="G53:H53"/>
    <mergeCell ref="E54:H54"/>
    <mergeCell ref="E67:H67"/>
    <mergeCell ref="E56:I56"/>
    <mergeCell ref="F57:H57"/>
    <mergeCell ref="E58:H58"/>
    <mergeCell ref="E59:H59"/>
    <mergeCell ref="E60:H60"/>
    <mergeCell ref="E62:I62"/>
    <mergeCell ref="F63:H63"/>
    <mergeCell ref="E65:H65"/>
    <mergeCell ref="E66:H66"/>
    <mergeCell ref="G64:H64"/>
    <mergeCell ref="G52:H52"/>
  </mergeCells>
  <phoneticPr fontId="22" type="noConversion"/>
  <pageMargins left="0.23622047244094491" right="0.23622047244094491" top="0.74803149606299213" bottom="0.74803149606299213" header="0.31496062992125984" footer="0.31496062992125984"/>
  <pageSetup scale="84" fitToHeight="0" orientation="landscape" r:id="rId1"/>
  <headerFooter>
    <oddHeader xml:space="preserve">&amp;CCity of Winnipeg
497-2025-Form_B-Prices Water Meter Renewal and AMS Project
</oddHeader>
    <oddFooter>&amp;LCity of Winnipeg, MB&amp;C&amp;A | Page &amp;P of &amp;N&amp;RDiameter Services copyright 2025</oddFooter>
  </headerFooter>
  <rowBreaks count="1" manualBreakCount="1">
    <brk id="67" max="8"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62412-DB32-4AEC-A940-55940B54BEB2}">
  <dimension ref="A1:L8"/>
  <sheetViews>
    <sheetView zoomScaleNormal="100" workbookViewId="0">
      <selection activeCell="F7" sqref="F7"/>
    </sheetView>
  </sheetViews>
  <sheetFormatPr defaultRowHeight="14.4" x14ac:dyDescent="0.3"/>
  <cols>
    <col min="2" max="2" width="14.44140625" customWidth="1"/>
    <col min="3" max="3" width="77.77734375" customWidth="1"/>
    <col min="4" max="4" width="24.5546875" customWidth="1"/>
    <col min="5" max="6" width="23" customWidth="1"/>
    <col min="8" max="8" width="0" hidden="1" customWidth="1"/>
    <col min="9" max="9" width="14.21875" hidden="1" customWidth="1"/>
    <col min="10" max="10" width="0" hidden="1" customWidth="1"/>
  </cols>
  <sheetData>
    <row r="1" spans="1:12" ht="21.75" customHeight="1" thickBot="1" x14ac:dyDescent="0.35">
      <c r="A1" s="279" t="s">
        <v>1</v>
      </c>
      <c r="B1" s="280"/>
      <c r="C1" s="280"/>
      <c r="D1" s="281"/>
      <c r="E1" s="316" t="str">
        <f>'B Price Form Summary'!E1</f>
        <v>City of Winnipeg</v>
      </c>
      <c r="F1" s="317"/>
      <c r="I1" t="s">
        <v>609</v>
      </c>
    </row>
    <row r="2" spans="1:12" ht="21.6" thickBot="1" x14ac:dyDescent="0.35">
      <c r="A2" s="279" t="s">
        <v>2</v>
      </c>
      <c r="B2" s="280"/>
      <c r="C2" s="280"/>
      <c r="D2" s="281"/>
      <c r="E2" s="316" t="str">
        <f>'B Price Form Summary'!E2</f>
        <v>Name of Proponent</v>
      </c>
      <c r="F2" s="317"/>
      <c r="I2" t="s">
        <v>610</v>
      </c>
    </row>
    <row r="3" spans="1:12" ht="85.5" customHeight="1" thickBot="1" x14ac:dyDescent="0.35">
      <c r="A3" s="279" t="s">
        <v>3</v>
      </c>
      <c r="B3" s="280"/>
      <c r="C3" s="280"/>
      <c r="D3" s="281"/>
      <c r="E3" s="316" t="str">
        <f>'B Price Form Summary'!E3</f>
        <v>497-2025_RFP - Supply of Advanced Meter Infrastructure and Water Meter Solution</v>
      </c>
      <c r="F3" s="317"/>
    </row>
    <row r="4" spans="1:12" ht="21.75" customHeight="1" thickBot="1" x14ac:dyDescent="0.35">
      <c r="A4" s="316" t="s">
        <v>595</v>
      </c>
      <c r="B4" s="317"/>
      <c r="C4" s="317"/>
      <c r="D4" s="317"/>
      <c r="E4" s="317"/>
      <c r="F4" s="317"/>
    </row>
    <row r="5" spans="1:12" s="1" customFormat="1" ht="31.8" thickBot="1" x14ac:dyDescent="0.35">
      <c r="A5" s="6" t="s">
        <v>46</v>
      </c>
      <c r="B5" s="6" t="s">
        <v>47</v>
      </c>
      <c r="C5" s="7" t="s">
        <v>48</v>
      </c>
      <c r="D5" s="7" t="s">
        <v>49</v>
      </c>
      <c r="E5" s="7" t="s">
        <v>50</v>
      </c>
      <c r="F5" s="199" t="s">
        <v>454</v>
      </c>
      <c r="G5"/>
      <c r="H5"/>
      <c r="I5"/>
      <c r="J5"/>
      <c r="K5"/>
      <c r="L5"/>
    </row>
    <row r="6" spans="1:12" s="1" customFormat="1" ht="73.5" customHeight="1" thickBot="1" x14ac:dyDescent="0.35">
      <c r="A6" s="84" t="s">
        <v>303</v>
      </c>
      <c r="B6" s="190" t="s">
        <v>85</v>
      </c>
      <c r="C6" s="84" t="s">
        <v>608</v>
      </c>
      <c r="D6" s="9" t="s">
        <v>593</v>
      </c>
      <c r="E6" s="27" t="s">
        <v>58</v>
      </c>
      <c r="F6" s="236"/>
      <c r="G6"/>
      <c r="H6"/>
      <c r="I6"/>
      <c r="J6"/>
      <c r="K6"/>
      <c r="L6"/>
    </row>
    <row r="7" spans="1:12" ht="73.5" customHeight="1" thickBot="1" x14ac:dyDescent="0.35">
      <c r="A7" s="84" t="s">
        <v>304</v>
      </c>
      <c r="B7" s="190" t="s">
        <v>85</v>
      </c>
      <c r="C7" s="84" t="s">
        <v>455</v>
      </c>
      <c r="D7" s="9" t="s">
        <v>64</v>
      </c>
      <c r="E7" s="27" t="s">
        <v>55</v>
      </c>
      <c r="F7" s="200"/>
    </row>
    <row r="8" spans="1:12" ht="96" customHeight="1" thickBot="1" x14ac:dyDescent="0.35">
      <c r="A8" s="84" t="s">
        <v>305</v>
      </c>
      <c r="B8" s="190" t="s">
        <v>85</v>
      </c>
      <c r="C8" s="84" t="s">
        <v>478</v>
      </c>
      <c r="D8" s="9" t="s">
        <v>453</v>
      </c>
      <c r="E8" s="27" t="s">
        <v>55</v>
      </c>
      <c r="F8" s="200"/>
    </row>
  </sheetData>
  <sheetProtection algorithmName="SHA-512" hashValue="H/h0xga38fNvLUqyfY/95Qcy60Ok/grV2V45XslrS47qzrNUUSzCPsBHXrE3Qe4+1x4D4dEL9pAda7KLSiRZdw==" saltValue="ChRgcjM2gbC7gQX+Oa38nA==" spinCount="100000" sheet="1" objects="1" scenarios="1"/>
  <mergeCells count="7">
    <mergeCell ref="A4:F4"/>
    <mergeCell ref="E3:F3"/>
    <mergeCell ref="E2:F2"/>
    <mergeCell ref="E1:F1"/>
    <mergeCell ref="A1:D1"/>
    <mergeCell ref="A2:D2"/>
    <mergeCell ref="A3:D3"/>
  </mergeCells>
  <phoneticPr fontId="22" type="noConversion"/>
  <dataValidations count="3">
    <dataValidation type="decimal" allowBlank="1" showInputMessage="1" showErrorMessage="1" sqref="F8" xr:uid="{B38368D6-05E3-4CAD-AB3E-2A9007DC8679}">
      <formula1>0</formula1>
      <formula2>0.05</formula2>
    </dataValidation>
    <dataValidation type="decimal" allowBlank="1" showInputMessage="1" showErrorMessage="1" sqref="F7" xr:uid="{2031035D-F2BF-429E-B9F7-618D0942807F}">
      <formula1>0</formula1>
      <formula2>1</formula2>
    </dataValidation>
    <dataValidation type="list" allowBlank="1" showInputMessage="1" showErrorMessage="1" sqref="F6" xr:uid="{6894566E-1E83-4C8D-BAA3-BE328D1A7A40}">
      <formula1>$I$1:$I$2</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7" tint="0.79998168889431442"/>
    <pageSetUpPr fitToPage="1"/>
  </sheetPr>
  <dimension ref="A1:L45"/>
  <sheetViews>
    <sheetView zoomScale="80" zoomScaleNormal="80" workbookViewId="0">
      <selection activeCell="E2" sqref="E2:H2"/>
    </sheetView>
  </sheetViews>
  <sheetFormatPr defaultColWidth="9.21875" defaultRowHeight="14.4" x14ac:dyDescent="0.3"/>
  <cols>
    <col min="1" max="1" width="9.21875" style="1"/>
    <col min="2" max="2" width="21.21875" style="1" customWidth="1"/>
    <col min="3" max="3" width="59.21875" style="1" customWidth="1"/>
    <col min="4" max="4" width="40.21875" style="1" customWidth="1"/>
    <col min="5" max="5" width="13" style="1" customWidth="1"/>
    <col min="6" max="6" width="17" style="1" customWidth="1"/>
    <col min="7" max="7" width="16.77734375" style="1" customWidth="1"/>
    <col min="8" max="11" width="15.77734375" style="1" customWidth="1"/>
    <col min="12" max="12" width="30.77734375" style="1" customWidth="1"/>
    <col min="13" max="16384" width="9.21875" style="1"/>
  </cols>
  <sheetData>
    <row r="1" spans="1:12" ht="21.75" customHeight="1" thickBot="1" x14ac:dyDescent="0.35">
      <c r="A1" s="279" t="s">
        <v>1</v>
      </c>
      <c r="B1" s="280"/>
      <c r="C1" s="280"/>
      <c r="D1" s="281"/>
      <c r="E1" s="270" t="str">
        <f>+'B Price Form Summary'!E1</f>
        <v>City of Winnipeg</v>
      </c>
      <c r="F1" s="271"/>
      <c r="G1" s="271"/>
      <c r="H1" s="272"/>
      <c r="I1" s="105"/>
      <c r="J1" s="105"/>
      <c r="K1" s="105"/>
    </row>
    <row r="2" spans="1:12" ht="21.6" thickBot="1" x14ac:dyDescent="0.35">
      <c r="A2" s="279" t="s">
        <v>2</v>
      </c>
      <c r="B2" s="280"/>
      <c r="C2" s="280"/>
      <c r="D2" s="281"/>
      <c r="E2" s="270" t="str">
        <f>+'B Price Form Summary'!E2</f>
        <v>Name of Proponent</v>
      </c>
      <c r="F2" s="271"/>
      <c r="G2" s="271"/>
      <c r="H2" s="272"/>
    </row>
    <row r="3" spans="1:12" ht="45" customHeight="1" thickBot="1" x14ac:dyDescent="0.35">
      <c r="A3" s="279" t="s">
        <v>3</v>
      </c>
      <c r="B3" s="280"/>
      <c r="C3" s="280"/>
      <c r="D3" s="280"/>
      <c r="E3" s="270" t="str">
        <f>+'B Price Form Summary'!E3</f>
        <v>497-2025_RFP - Supply of Advanced Meter Infrastructure and Water Meter Solution</v>
      </c>
      <c r="F3" s="271"/>
      <c r="G3" s="271"/>
      <c r="H3" s="272"/>
      <c r="J3" s="112"/>
    </row>
    <row r="4" spans="1:12" ht="21.6" thickBot="1" x14ac:dyDescent="0.35">
      <c r="A4" s="321" t="str">
        <f>'B Price Form Summary'!F7</f>
        <v>B1 - Water Meter Supply</v>
      </c>
      <c r="B4" s="322"/>
      <c r="C4" s="322"/>
      <c r="D4" s="322"/>
      <c r="E4" s="322"/>
      <c r="F4" s="322"/>
      <c r="G4" s="322"/>
      <c r="H4" s="323"/>
    </row>
    <row r="5" spans="1:12" ht="51.75" customHeight="1" thickBot="1" x14ac:dyDescent="0.35">
      <c r="A5" s="324" t="s">
        <v>61</v>
      </c>
      <c r="B5" s="325"/>
      <c r="C5" s="325"/>
      <c r="D5" s="325"/>
      <c r="E5" s="325"/>
      <c r="F5" s="325"/>
      <c r="G5" s="325"/>
      <c r="H5" s="326"/>
    </row>
    <row r="6" spans="1:12" ht="44.55" customHeight="1" thickBot="1" x14ac:dyDescent="0.35">
      <c r="A6" s="7" t="s">
        <v>46</v>
      </c>
      <c r="B6" s="6" t="s">
        <v>47</v>
      </c>
      <c r="C6" s="7" t="s">
        <v>48</v>
      </c>
      <c r="D6" s="7" t="s">
        <v>49</v>
      </c>
      <c r="E6" s="54" t="s">
        <v>50</v>
      </c>
      <c r="F6" s="7" t="s">
        <v>51</v>
      </c>
      <c r="G6" s="54">
        <v>2026</v>
      </c>
      <c r="H6" s="54">
        <v>2027</v>
      </c>
      <c r="I6" s="54">
        <v>2028</v>
      </c>
      <c r="J6" s="54">
        <v>2029</v>
      </c>
      <c r="K6" s="54">
        <v>2030</v>
      </c>
      <c r="L6" s="54" t="s">
        <v>226</v>
      </c>
    </row>
    <row r="7" spans="1:12" ht="45.75" customHeight="1" thickBot="1" x14ac:dyDescent="0.35">
      <c r="A7" s="84" t="s">
        <v>152</v>
      </c>
      <c r="B7" s="9" t="s">
        <v>85</v>
      </c>
      <c r="C7" s="328" t="s">
        <v>331</v>
      </c>
      <c r="D7" s="66" t="s">
        <v>281</v>
      </c>
      <c r="E7" s="27" t="s">
        <v>55</v>
      </c>
      <c r="F7" s="88" t="s">
        <v>60</v>
      </c>
      <c r="G7" s="12">
        <v>0</v>
      </c>
      <c r="H7" s="12">
        <v>0</v>
      </c>
      <c r="I7" s="12">
        <v>0</v>
      </c>
      <c r="J7" s="12">
        <v>0</v>
      </c>
      <c r="K7" s="12">
        <v>0</v>
      </c>
      <c r="L7" s="180">
        <f>(G7*'B1A - Mtr Qty by Year'!F6)+(H7*'B1A - Mtr Qty by Year'!G6)+(I7*'B1A - Mtr Qty by Year'!H6)+(J7*'B1A - Mtr Qty by Year'!I6)+(K7*'B1A - Mtr Qty by Year'!J6)</f>
        <v>0</v>
      </c>
    </row>
    <row r="8" spans="1:12" ht="45.75" customHeight="1" thickBot="1" x14ac:dyDescent="0.35">
      <c r="A8" s="84" t="s">
        <v>153</v>
      </c>
      <c r="B8" s="9" t="s">
        <v>85</v>
      </c>
      <c r="C8" s="329"/>
      <c r="D8" s="66" t="s">
        <v>342</v>
      </c>
      <c r="E8" s="27" t="s">
        <v>55</v>
      </c>
      <c r="F8" s="88" t="s">
        <v>60</v>
      </c>
      <c r="G8" s="12">
        <v>0</v>
      </c>
      <c r="H8" s="12">
        <v>0</v>
      </c>
      <c r="I8" s="12">
        <v>0</v>
      </c>
      <c r="J8" s="12">
        <v>0</v>
      </c>
      <c r="K8" s="12">
        <v>0</v>
      </c>
      <c r="L8" s="180">
        <f>(G8*'B1A - Mtr Qty by Year'!F7)+(H8*'B1A - Mtr Qty by Year'!G7)+(I8*'B1A - Mtr Qty by Year'!H7)+(J8*'B1A - Mtr Qty by Year'!I7)+(K8*'B1A - Mtr Qty by Year'!J7)</f>
        <v>0</v>
      </c>
    </row>
    <row r="9" spans="1:12" ht="45.75" customHeight="1" thickBot="1" x14ac:dyDescent="0.35">
      <c r="A9" s="84" t="s">
        <v>154</v>
      </c>
      <c r="B9" s="9" t="s">
        <v>85</v>
      </c>
      <c r="C9" s="329"/>
      <c r="D9" s="66" t="s">
        <v>213</v>
      </c>
      <c r="E9" s="27" t="s">
        <v>55</v>
      </c>
      <c r="F9" s="88" t="s">
        <v>60</v>
      </c>
      <c r="G9" s="12">
        <v>0</v>
      </c>
      <c r="H9" s="12">
        <v>0</v>
      </c>
      <c r="I9" s="12">
        <v>0</v>
      </c>
      <c r="J9" s="12">
        <v>0</v>
      </c>
      <c r="K9" s="12">
        <v>0</v>
      </c>
      <c r="L9" s="180">
        <f>(G9*'B1A - Mtr Qty by Year'!F8)+(H9*'B1A - Mtr Qty by Year'!G8)+(I9*'B1A - Mtr Qty by Year'!H8)+(J9*'B1A - Mtr Qty by Year'!I8)+(K9*'B1A - Mtr Qty by Year'!J8)</f>
        <v>0</v>
      </c>
    </row>
    <row r="10" spans="1:12" ht="45.75" customHeight="1" thickBot="1" x14ac:dyDescent="0.35">
      <c r="A10" s="84" t="s">
        <v>155</v>
      </c>
      <c r="B10" s="9" t="s">
        <v>85</v>
      </c>
      <c r="C10" s="329"/>
      <c r="D10" s="9" t="s">
        <v>214</v>
      </c>
      <c r="E10" s="27" t="s">
        <v>55</v>
      </c>
      <c r="F10" s="88" t="s">
        <v>60</v>
      </c>
      <c r="G10" s="12">
        <v>0</v>
      </c>
      <c r="H10" s="12">
        <v>0</v>
      </c>
      <c r="I10" s="12">
        <v>0</v>
      </c>
      <c r="J10" s="12">
        <v>0</v>
      </c>
      <c r="K10" s="12">
        <v>0</v>
      </c>
      <c r="L10" s="180">
        <f>(G10*'B1A - Mtr Qty by Year'!F9)+(H10*'B1A - Mtr Qty by Year'!G9)+(I10*'B1A - Mtr Qty by Year'!H9)+(J10*'B1A - Mtr Qty by Year'!I9)+(K10*'B1A - Mtr Qty by Year'!J9)</f>
        <v>0</v>
      </c>
    </row>
    <row r="11" spans="1:12" ht="45.75" customHeight="1" thickBot="1" x14ac:dyDescent="0.35">
      <c r="A11" s="84" t="s">
        <v>156</v>
      </c>
      <c r="B11" s="9" t="s">
        <v>85</v>
      </c>
      <c r="C11" s="329"/>
      <c r="D11" s="9" t="s">
        <v>282</v>
      </c>
      <c r="E11" s="27" t="s">
        <v>55</v>
      </c>
      <c r="F11" s="88" t="s">
        <v>60</v>
      </c>
      <c r="G11" s="12">
        <v>0</v>
      </c>
      <c r="H11" s="12">
        <v>0</v>
      </c>
      <c r="I11" s="12">
        <v>0</v>
      </c>
      <c r="J11" s="12">
        <v>0</v>
      </c>
      <c r="K11" s="12">
        <v>0</v>
      </c>
      <c r="L11" s="180">
        <f>(G11*'B1A - Mtr Qty by Year'!F10)+(H11*'B1A - Mtr Qty by Year'!G10)+(I11*'B1A - Mtr Qty by Year'!H10)+(J11*'B1A - Mtr Qty by Year'!I10)+(K11*'B1A - Mtr Qty by Year'!J10)</f>
        <v>0</v>
      </c>
    </row>
    <row r="12" spans="1:12" ht="45.75" customHeight="1" thickBot="1" x14ac:dyDescent="0.35">
      <c r="A12" s="84" t="s">
        <v>157</v>
      </c>
      <c r="B12" s="9" t="s">
        <v>85</v>
      </c>
      <c r="C12" s="329"/>
      <c r="D12" s="9" t="s">
        <v>215</v>
      </c>
      <c r="E12" s="27" t="s">
        <v>55</v>
      </c>
      <c r="F12" s="88" t="s">
        <v>60</v>
      </c>
      <c r="G12" s="12">
        <v>0</v>
      </c>
      <c r="H12" s="12">
        <v>0</v>
      </c>
      <c r="I12" s="12">
        <v>0</v>
      </c>
      <c r="J12" s="12">
        <v>0</v>
      </c>
      <c r="K12" s="12">
        <v>0</v>
      </c>
      <c r="L12" s="180">
        <f>(G12*'B1A - Mtr Qty by Year'!F11)+(H12*'B1A - Mtr Qty by Year'!G11)+(I12*'B1A - Mtr Qty by Year'!H11)+(J12*'B1A - Mtr Qty by Year'!I11)+(K12*'B1A - Mtr Qty by Year'!J11)</f>
        <v>0</v>
      </c>
    </row>
    <row r="13" spans="1:12" ht="45.75" customHeight="1" thickBot="1" x14ac:dyDescent="0.35">
      <c r="A13" s="84" t="s">
        <v>158</v>
      </c>
      <c r="B13" s="9" t="s">
        <v>85</v>
      </c>
      <c r="C13" s="329"/>
      <c r="D13" s="9" t="s">
        <v>216</v>
      </c>
      <c r="E13" s="27" t="s">
        <v>55</v>
      </c>
      <c r="F13" s="88" t="s">
        <v>60</v>
      </c>
      <c r="G13" s="12">
        <v>0</v>
      </c>
      <c r="H13" s="12">
        <v>0</v>
      </c>
      <c r="I13" s="12">
        <v>0</v>
      </c>
      <c r="J13" s="12">
        <v>0</v>
      </c>
      <c r="K13" s="12">
        <v>0</v>
      </c>
      <c r="L13" s="180">
        <f>(G13*'B1A - Mtr Qty by Year'!F12)+(H13*'B1A - Mtr Qty by Year'!G12)+(I13*'B1A - Mtr Qty by Year'!H12)+(J13*'B1A - Mtr Qty by Year'!I12)+(K13*'B1A - Mtr Qty by Year'!J12)</f>
        <v>0</v>
      </c>
    </row>
    <row r="14" spans="1:12" ht="45.75" customHeight="1" thickBot="1" x14ac:dyDescent="0.35">
      <c r="A14" s="84" t="s">
        <v>159</v>
      </c>
      <c r="B14" s="9" t="s">
        <v>85</v>
      </c>
      <c r="C14" s="329"/>
      <c r="D14" s="9" t="s">
        <v>217</v>
      </c>
      <c r="E14" s="27" t="s">
        <v>55</v>
      </c>
      <c r="F14" s="88" t="s">
        <v>60</v>
      </c>
      <c r="G14" s="12">
        <v>0</v>
      </c>
      <c r="H14" s="12">
        <v>0</v>
      </c>
      <c r="I14" s="12">
        <v>0</v>
      </c>
      <c r="J14" s="12">
        <v>0</v>
      </c>
      <c r="K14" s="12">
        <v>0</v>
      </c>
      <c r="L14" s="180">
        <f>(G14*'B1A - Mtr Qty by Year'!F13)+(H14*'B1A - Mtr Qty by Year'!G13)+(I14*'B1A - Mtr Qty by Year'!H13)+(J14*'B1A - Mtr Qty by Year'!I13)+(K14*'B1A - Mtr Qty by Year'!J13)</f>
        <v>0</v>
      </c>
    </row>
    <row r="15" spans="1:12" ht="45.75" customHeight="1" thickBot="1" x14ac:dyDescent="0.35">
      <c r="A15" s="84" t="s">
        <v>160</v>
      </c>
      <c r="B15" s="9" t="s">
        <v>85</v>
      </c>
      <c r="C15" s="329"/>
      <c r="D15" s="9" t="s">
        <v>218</v>
      </c>
      <c r="E15" s="27" t="s">
        <v>55</v>
      </c>
      <c r="F15" s="88" t="s">
        <v>60</v>
      </c>
      <c r="G15" s="12">
        <v>0</v>
      </c>
      <c r="H15" s="12">
        <v>0</v>
      </c>
      <c r="I15" s="12">
        <v>0</v>
      </c>
      <c r="J15" s="12">
        <v>0</v>
      </c>
      <c r="K15" s="12">
        <v>0</v>
      </c>
      <c r="L15" s="180">
        <f>(H15*'B1A - Mtr Qty by Year'!G14)+(I15*'B1A - Mtr Qty by Year'!H14)+(J15*'B1A - Mtr Qty by Year'!I14)+(K15*'B1A - Mtr Qty by Year'!J14)</f>
        <v>0</v>
      </c>
    </row>
    <row r="16" spans="1:12" ht="45.75" customHeight="1" thickBot="1" x14ac:dyDescent="0.35">
      <c r="A16" s="84" t="s">
        <v>161</v>
      </c>
      <c r="B16" s="9" t="s">
        <v>85</v>
      </c>
      <c r="C16" s="329"/>
      <c r="D16" s="9" t="s">
        <v>219</v>
      </c>
      <c r="E16" s="27" t="s">
        <v>55</v>
      </c>
      <c r="F16" s="88" t="s">
        <v>60</v>
      </c>
      <c r="G16" s="12">
        <v>0</v>
      </c>
      <c r="H16" s="12">
        <v>0</v>
      </c>
      <c r="I16" s="12">
        <v>0</v>
      </c>
      <c r="J16" s="12">
        <v>0</v>
      </c>
      <c r="K16" s="12">
        <v>0</v>
      </c>
      <c r="L16" s="180">
        <f>(H16*'B1A - Mtr Qty by Year'!G15)+(I16*'B1A - Mtr Qty by Year'!H15)+(J16*'B1A - Mtr Qty by Year'!I15)+(K16*'B1A - Mtr Qty by Year'!J15)</f>
        <v>0</v>
      </c>
    </row>
    <row r="17" spans="1:12" ht="45.75" customHeight="1" thickBot="1" x14ac:dyDescent="0.35">
      <c r="A17" s="84" t="s">
        <v>239</v>
      </c>
      <c r="B17" s="9" t="s">
        <v>85</v>
      </c>
      <c r="C17" s="330"/>
      <c r="D17" s="9" t="s">
        <v>283</v>
      </c>
      <c r="E17" s="27" t="s">
        <v>55</v>
      </c>
      <c r="F17" s="88" t="s">
        <v>60</v>
      </c>
      <c r="G17" s="12">
        <v>0</v>
      </c>
      <c r="H17" s="12">
        <v>0</v>
      </c>
      <c r="I17" s="12">
        <v>0</v>
      </c>
      <c r="J17" s="12">
        <v>0</v>
      </c>
      <c r="K17" s="12">
        <v>0</v>
      </c>
      <c r="L17" s="180">
        <f>(I17*'B1A - Mtr Qty by Year'!H16)+(J17*'B1A - Mtr Qty by Year'!I16)</f>
        <v>0</v>
      </c>
    </row>
    <row r="18" spans="1:12" ht="149.25" customHeight="1" thickBot="1" x14ac:dyDescent="0.35">
      <c r="A18" s="84" t="s">
        <v>240</v>
      </c>
      <c r="B18" s="9" t="s">
        <v>85</v>
      </c>
      <c r="C18" s="217" t="s">
        <v>521</v>
      </c>
      <c r="D18" s="31" t="s">
        <v>281</v>
      </c>
      <c r="E18" s="27" t="s">
        <v>55</v>
      </c>
      <c r="F18" s="88" t="s">
        <v>60</v>
      </c>
      <c r="G18" s="12">
        <v>0</v>
      </c>
      <c r="H18" s="12">
        <v>0</v>
      </c>
      <c r="I18" s="12">
        <v>0</v>
      </c>
      <c r="J18" s="12">
        <v>0</v>
      </c>
      <c r="K18" s="12">
        <v>0</v>
      </c>
      <c r="L18" s="180">
        <f>(H18*'B1A - Mtr Qty by Year'!G17)+(I18*'B1A - Mtr Qty by Year'!H17)+(J18*'B1A - Mtr Qty by Year'!I17)+(K18*'B1A - Mtr Qty by Year'!J17)</f>
        <v>0</v>
      </c>
    </row>
    <row r="19" spans="1:12" ht="149.25" customHeight="1" thickBot="1" x14ac:dyDescent="0.35">
      <c r="A19" s="84" t="s">
        <v>529</v>
      </c>
      <c r="B19" s="9" t="s">
        <v>85</v>
      </c>
      <c r="C19" s="217" t="s">
        <v>599</v>
      </c>
      <c r="D19" s="31" t="s">
        <v>590</v>
      </c>
      <c r="E19" s="27" t="s">
        <v>55</v>
      </c>
      <c r="F19" s="88" t="s">
        <v>60</v>
      </c>
      <c r="G19" s="12">
        <v>0</v>
      </c>
      <c r="H19" s="12">
        <v>0</v>
      </c>
      <c r="I19" s="12">
        <v>0</v>
      </c>
      <c r="J19" s="12">
        <v>0</v>
      </c>
      <c r="K19" s="12">
        <v>0</v>
      </c>
      <c r="L19" s="180">
        <f>(G19*'B1A - Mtr Qty by Year'!F18)+(H19*'B1A - Mtr Qty by Year'!G18)+(I19*'B1A - Mtr Qty by Year'!H18)+(J19*'B1A - Mtr Qty by Year'!I18)+(K19*'B1A - Mtr Qty by Year'!J18)</f>
        <v>0</v>
      </c>
    </row>
    <row r="20" spans="1:12" ht="45" customHeight="1" thickBot="1" x14ac:dyDescent="0.45">
      <c r="A20" s="331" t="str">
        <f>+A4&amp;" (CDN$)"</f>
        <v>B1 - Water Meter Supply (CDN$)</v>
      </c>
      <c r="B20" s="332"/>
      <c r="C20" s="332"/>
      <c r="D20" s="332"/>
      <c r="E20" s="332"/>
      <c r="F20" s="332"/>
      <c r="G20" s="180">
        <f>(G7*'B1A - Mtr Qty by Year'!F6)+(G8*'B1A - Mtr Qty by Year'!F7)+('B1 Water Meter Supply'!G9*'B1A - Mtr Qty by Year'!F8)+('B1 Water Meter Supply'!G10*'B1A - Mtr Qty by Year'!F9)+('B1 Water Meter Supply'!G11*'B1A - Mtr Qty by Year'!F10)+('B1 Water Meter Supply'!G12*'B1A - Mtr Qty by Year'!F11)+(G13*'B1A - Mtr Qty by Year'!F12)+('B1 Water Meter Supply'!G14*'B1A - Mtr Qty by Year'!F13)+('B1 Water Meter Supply'!G19*'B1A - Mtr Qty by Year'!F18)</f>
        <v>0</v>
      </c>
      <c r="H20" s="180">
        <f>(H7*'B1A - Mtr Qty by Year'!G6)+(H8*'B1A - Mtr Qty by Year'!G7)+('B1 Water Meter Supply'!H9*'B1A - Mtr Qty by Year'!G8)+('B1 Water Meter Supply'!H10*'B1A - Mtr Qty by Year'!G9)+('B1 Water Meter Supply'!H11*'B1A - Mtr Qty by Year'!G10)+('B1 Water Meter Supply'!H12*'B1A - Mtr Qty by Year'!G11)+(H13*'B1A - Mtr Qty by Year'!G12)+('B1 Water Meter Supply'!H14*'B1A - Mtr Qty by Year'!G13)+(H15*'B1A - Mtr Qty by Year'!G14)+('B1 Water Meter Supply'!H16*'B1A - Mtr Qty by Year'!G15)+('B1 Water Meter Supply'!H18*'B1A - Mtr Qty by Year'!G17)+('B1 Water Meter Supply'!H19*'B1A - Mtr Qty by Year'!G18)</f>
        <v>0</v>
      </c>
      <c r="I20" s="180">
        <f>(I7*'B1A - Mtr Qty by Year'!H6)+(I8*'B1A - Mtr Qty by Year'!H7)+('B1 Water Meter Supply'!I9*'B1A - Mtr Qty by Year'!H8)+('B1 Water Meter Supply'!I10*'B1A - Mtr Qty by Year'!H9)+('B1 Water Meter Supply'!I11*'B1A - Mtr Qty by Year'!H10)+('B1 Water Meter Supply'!I12*'B1A - Mtr Qty by Year'!H11)+(I13*'B1A - Mtr Qty by Year'!H12)+('B1 Water Meter Supply'!I14*'B1A - Mtr Qty by Year'!H13)+(I15*'B1A - Mtr Qty by Year'!H14)+('B1 Water Meter Supply'!I16*'B1A - Mtr Qty by Year'!H15)+(I17*'B1A - Mtr Qty by Year'!H16)+(I18*'B1A - Mtr Qty by Year'!H17)+(I19*'B1A - Mtr Qty by Year'!H18)</f>
        <v>0</v>
      </c>
      <c r="J20" s="180">
        <f>(J7*'B1A - Mtr Qty by Year'!I6)+(J8*'B1A - Mtr Qty by Year'!I7)+('B1 Water Meter Supply'!J9*'B1A - Mtr Qty by Year'!I8)+('B1 Water Meter Supply'!J10*'B1A - Mtr Qty by Year'!I9)+('B1 Water Meter Supply'!J11*'B1A - Mtr Qty by Year'!I10)+('B1 Water Meter Supply'!J12*'B1A - Mtr Qty by Year'!I11)+(J13*'B1A - Mtr Qty by Year'!I12)+('B1 Water Meter Supply'!J14*'B1A - Mtr Qty by Year'!I13)+(J15*'B1A - Mtr Qty by Year'!I14)+('B1 Water Meter Supply'!J16*'B1A - Mtr Qty by Year'!I15)+(J17*'B1A - Mtr Qty by Year'!I16)+(J18*'B1A - Mtr Qty by Year'!I17)+(J19*'B1A - Mtr Qty by Year'!I18)</f>
        <v>0</v>
      </c>
      <c r="K20" s="180">
        <f>(K7*'B1A - Mtr Qty by Year'!J6)+(K8*'B1A - Mtr Qty by Year'!J7)+('B1 Water Meter Supply'!K9*'B1A - Mtr Qty by Year'!J8)+('B1 Water Meter Supply'!K10*'B1A - Mtr Qty by Year'!J9)+('B1 Water Meter Supply'!K11*'B1A - Mtr Qty by Year'!J10)+('B1 Water Meter Supply'!K12*'B1A - Mtr Qty by Year'!J11)+(K13*'B1A - Mtr Qty by Year'!J12)+('B1 Water Meter Supply'!K14*'B1A - Mtr Qty by Year'!J13)+(K15*'B1A - Mtr Qty by Year'!J14)+('B1 Water Meter Supply'!K16*'B1A - Mtr Qty by Year'!J15)+(K18*'B1A - Mtr Qty by Year'!J17)+(K19*'B1A - Mtr Qty by Year'!J18)</f>
        <v>0</v>
      </c>
      <c r="L20" s="5">
        <f>IF('B Meter and Radio Assumptions'!F6="Yes",SUM(L7:L19),SUM(L7:L18))</f>
        <v>0</v>
      </c>
    </row>
    <row r="21" spans="1:12" ht="45" customHeight="1" thickBot="1" x14ac:dyDescent="0.45">
      <c r="A21" s="333" t="str">
        <f>+"Transfer the total for "&amp; $A$4&amp;" to 497-2025_Schedule A-Prices B Price Form Summary"</f>
        <v>Transfer the total for B1 - Water Meter Supply to 497-2025_Schedule A-Prices B Price Form Summary</v>
      </c>
      <c r="B21" s="334"/>
      <c r="C21" s="334"/>
      <c r="D21" s="334"/>
      <c r="E21" s="334"/>
      <c r="F21" s="334"/>
      <c r="G21" s="64"/>
      <c r="H21" s="64"/>
      <c r="I21" s="64"/>
      <c r="J21" s="64"/>
      <c r="K21" s="64"/>
    </row>
    <row r="22" spans="1:12" ht="45" customHeight="1" thickBot="1" x14ac:dyDescent="0.35">
      <c r="A22" s="316" t="s">
        <v>56</v>
      </c>
      <c r="B22" s="317"/>
      <c r="C22" s="317"/>
      <c r="D22" s="317"/>
      <c r="E22" s="327"/>
      <c r="F22" s="108"/>
      <c r="G22" s="64"/>
      <c r="H22" s="64"/>
      <c r="I22" s="64"/>
      <c r="J22" s="64"/>
      <c r="K22" s="64"/>
    </row>
    <row r="23" spans="1:12" ht="36" customHeight="1" thickBot="1" x14ac:dyDescent="0.35">
      <c r="A23" s="84" t="s">
        <v>241</v>
      </c>
      <c r="B23" s="318"/>
      <c r="C23" s="319"/>
      <c r="D23" s="319"/>
      <c r="E23" s="320"/>
    </row>
    <row r="24" spans="1:12" ht="36" customHeight="1" thickBot="1" x14ac:dyDescent="0.35">
      <c r="A24" s="84" t="s">
        <v>242</v>
      </c>
      <c r="B24" s="335"/>
      <c r="C24" s="336"/>
      <c r="D24" s="336"/>
      <c r="E24" s="337"/>
    </row>
    <row r="25" spans="1:12" ht="36" customHeight="1" thickBot="1" x14ac:dyDescent="0.35">
      <c r="A25" s="84" t="s">
        <v>243</v>
      </c>
      <c r="B25" s="335"/>
      <c r="C25" s="336"/>
      <c r="D25" s="336"/>
      <c r="E25" s="337"/>
    </row>
    <row r="26" spans="1:12" ht="36" customHeight="1" thickBot="1" x14ac:dyDescent="0.35">
      <c r="A26" s="84" t="s">
        <v>244</v>
      </c>
      <c r="B26" s="338"/>
      <c r="C26" s="336"/>
      <c r="D26" s="336"/>
      <c r="E26" s="337"/>
    </row>
    <row r="27" spans="1:12" ht="36" customHeight="1" thickBot="1" x14ac:dyDescent="0.35">
      <c r="A27" s="84" t="s">
        <v>245</v>
      </c>
      <c r="B27" s="335"/>
      <c r="C27" s="336"/>
      <c r="D27" s="336"/>
      <c r="E27" s="337"/>
    </row>
    <row r="28" spans="1:12" ht="36" customHeight="1" thickBot="1" x14ac:dyDescent="0.35">
      <c r="A28" s="84" t="s">
        <v>246</v>
      </c>
      <c r="B28" s="335"/>
      <c r="C28" s="336"/>
      <c r="D28" s="336"/>
      <c r="E28" s="337"/>
    </row>
    <row r="29" spans="1:12" ht="36" customHeight="1" thickBot="1" x14ac:dyDescent="0.35">
      <c r="A29" s="84" t="s">
        <v>247</v>
      </c>
      <c r="B29" s="335"/>
      <c r="C29" s="336"/>
      <c r="D29" s="336"/>
      <c r="E29" s="337"/>
    </row>
    <row r="30" spans="1:12" ht="36" customHeight="1" thickBot="1" x14ac:dyDescent="0.35">
      <c r="A30" s="84" t="s">
        <v>262</v>
      </c>
      <c r="B30" s="335"/>
      <c r="C30" s="336"/>
      <c r="D30" s="336"/>
      <c r="E30" s="337"/>
    </row>
    <row r="31" spans="1:12" ht="36" customHeight="1" thickBot="1" x14ac:dyDescent="0.35">
      <c r="A31" s="84" t="s">
        <v>341</v>
      </c>
      <c r="B31" s="335"/>
      <c r="C31" s="336"/>
      <c r="D31" s="336"/>
      <c r="E31" s="337"/>
    </row>
    <row r="32" spans="1:12" ht="36" customHeight="1" thickBot="1" x14ac:dyDescent="0.35">
      <c r="A32" s="84" t="s">
        <v>601</v>
      </c>
      <c r="B32" s="335"/>
      <c r="C32" s="336"/>
      <c r="D32" s="336"/>
      <c r="E32" s="337"/>
    </row>
    <row r="45" ht="14.55" customHeight="1" x14ac:dyDescent="0.3"/>
  </sheetData>
  <sheetProtection algorithmName="SHA-512" hashValue="zqlputv0OIRWTkicXdE1T+ipvJIXfN5MJLEO1j2IPXdixIMjhtMFoEZUh0W71S/ee66ciyD7ODuHP2o8e0cSYw==" saltValue="Ey02lOMrhqmcJpCNl14PsQ==" spinCount="100000" sheet="1" formatCells="0"/>
  <mergeCells count="22">
    <mergeCell ref="B30:E30"/>
    <mergeCell ref="B31:E31"/>
    <mergeCell ref="B32:E32"/>
    <mergeCell ref="B24:E24"/>
    <mergeCell ref="B25:E25"/>
    <mergeCell ref="B26:E26"/>
    <mergeCell ref="B27:E27"/>
    <mergeCell ref="B28:E28"/>
    <mergeCell ref="B29:E29"/>
    <mergeCell ref="B23:E23"/>
    <mergeCell ref="A4:H4"/>
    <mergeCell ref="A5:H5"/>
    <mergeCell ref="A22:E22"/>
    <mergeCell ref="C7:C17"/>
    <mergeCell ref="A20:F20"/>
    <mergeCell ref="A21:F21"/>
    <mergeCell ref="A1:D1"/>
    <mergeCell ref="E1:H1"/>
    <mergeCell ref="A2:D2"/>
    <mergeCell ref="E2:H2"/>
    <mergeCell ref="A3:D3"/>
    <mergeCell ref="E3:H3"/>
  </mergeCells>
  <phoneticPr fontId="22" type="noConversion"/>
  <pageMargins left="0.23622047244094491" right="0.23622047244094491" top="0.74803149606299213" bottom="0.74803149606299213" header="0.31496062992125984" footer="0.31496062992125984"/>
  <pageSetup scale="70" fitToHeight="0" orientation="landscape" r:id="rId1"/>
  <headerFooter>
    <oddHeader xml:space="preserve">&amp;CCity of Winnipeg
497-2025-Form_B-Prices Water Meter Renewal and AMS Project
</oddHeader>
    <oddFooter>&amp;LCity of Winnipeg, MB&amp;C&amp;A | Page &amp;P of &amp;N&amp;RDiameter Services copyright 2025</oddFooter>
  </headerFooter>
  <rowBreaks count="1" manualBreakCount="1">
    <brk id="21" max="8" man="1"/>
  </rowBreaks>
  <extLst>
    <ext xmlns:x14="http://schemas.microsoft.com/office/spreadsheetml/2009/9/main" uri="{CCE6A557-97BC-4b89-ADB6-D9C93CAAB3DF}">
      <x14:dataValidations xmlns:xm="http://schemas.microsoft.com/office/excel/2006/main" count="1">
        <x14:dataValidation type="list" allowBlank="1" showInputMessage="1" showErrorMessage="1" xr:uid="{114D8AC7-C16E-4FEA-8347-91D5B0344EF5}">
          <x14:formula1>
            <xm:f>Lookups!$A$2:$A$3</xm:f>
          </x14:formula1>
          <xm:sqref>F7:F19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77D7D-44BE-4738-9509-F724A5703539}">
  <dimension ref="A1:AA46"/>
  <sheetViews>
    <sheetView zoomScaleNormal="100" workbookViewId="0">
      <selection activeCell="A2" sqref="A2:D2"/>
    </sheetView>
  </sheetViews>
  <sheetFormatPr defaultColWidth="9.21875" defaultRowHeight="14.4" x14ac:dyDescent="0.3"/>
  <cols>
    <col min="1" max="1" width="2.21875" style="1" customWidth="1"/>
    <col min="2" max="2" width="7.44140625" style="1" customWidth="1"/>
    <col min="3" max="3" width="9.21875" style="1" customWidth="1"/>
    <col min="4" max="4" width="14.44140625" style="1" customWidth="1"/>
    <col min="5" max="5" width="34.21875" style="1" customWidth="1"/>
    <col min="6" max="6" width="10.77734375" style="1" customWidth="1"/>
    <col min="7" max="7" width="8.5546875" style="1" customWidth="1"/>
    <col min="8" max="10" width="9.21875" style="1" customWidth="1"/>
    <col min="11" max="11" width="12.44140625" style="1" bestFit="1" customWidth="1"/>
    <col min="12" max="12" width="9.21875" style="1"/>
    <col min="13" max="13" width="10.5546875" style="1" bestFit="1" customWidth="1"/>
    <col min="14" max="14" width="11.5546875" style="1" customWidth="1"/>
    <col min="15" max="15" width="9.21875" style="1" customWidth="1"/>
    <col min="16" max="16" width="21.5546875" style="1" hidden="1" customWidth="1"/>
    <col min="17" max="17" width="25.44140625" style="1" hidden="1" customWidth="1"/>
    <col min="18" max="18" width="15.77734375" style="1" hidden="1" customWidth="1"/>
    <col min="19" max="20" width="16.21875" style="1" hidden="1" customWidth="1"/>
    <col min="21" max="21" width="10.77734375" style="1" hidden="1" customWidth="1"/>
    <col min="22" max="22" width="11.5546875" style="1" hidden="1" customWidth="1"/>
    <col min="23" max="26" width="9.21875" style="1" hidden="1" customWidth="1"/>
    <col min="27" max="27" width="11" style="1" hidden="1" customWidth="1"/>
    <col min="28" max="28" width="9.21875" style="1" customWidth="1"/>
    <col min="29" max="16384" width="9.21875" style="1"/>
  </cols>
  <sheetData>
    <row r="1" spans="1:22" ht="21.6" thickBot="1" x14ac:dyDescent="0.35">
      <c r="A1" s="279" t="s">
        <v>1</v>
      </c>
      <c r="B1" s="280"/>
      <c r="C1" s="280"/>
      <c r="D1" s="281"/>
      <c r="E1" s="270" t="str">
        <f>'B Price Form Summary'!E1</f>
        <v>City of Winnipeg</v>
      </c>
      <c r="F1" s="271"/>
      <c r="G1" s="271"/>
      <c r="H1" s="271"/>
      <c r="I1" s="271"/>
      <c r="J1" s="271"/>
      <c r="K1" s="271"/>
    </row>
    <row r="2" spans="1:22" ht="21.75" customHeight="1" thickBot="1" x14ac:dyDescent="0.35">
      <c r="A2" s="279" t="s">
        <v>2</v>
      </c>
      <c r="B2" s="280"/>
      <c r="C2" s="280"/>
      <c r="D2" s="281"/>
      <c r="E2" s="270" t="str">
        <f>'B Price Form Summary'!E2</f>
        <v>Name of Proponent</v>
      </c>
      <c r="F2" s="271"/>
      <c r="G2" s="271"/>
      <c r="H2" s="271"/>
      <c r="I2" s="271"/>
      <c r="J2" s="271"/>
      <c r="K2" s="271"/>
      <c r="P2" s="339" t="s">
        <v>221</v>
      </c>
      <c r="Q2" s="340"/>
      <c r="R2" s="1" t="s">
        <v>237</v>
      </c>
    </row>
    <row r="3" spans="1:22" ht="49.5" customHeight="1" thickBot="1" x14ac:dyDescent="0.35">
      <c r="A3" s="279" t="s">
        <v>3</v>
      </c>
      <c r="B3" s="280"/>
      <c r="C3" s="280"/>
      <c r="D3" s="281"/>
      <c r="E3" s="270" t="str">
        <f>'B Price Form Summary'!E3</f>
        <v>497-2025_RFP - Supply of Advanced Meter Infrastructure and Water Meter Solution</v>
      </c>
      <c r="F3" s="271"/>
      <c r="G3" s="271"/>
      <c r="H3" s="271"/>
      <c r="I3" s="271"/>
      <c r="J3" s="271"/>
      <c r="K3" s="271"/>
      <c r="P3" s="165">
        <v>2026</v>
      </c>
      <c r="Q3" s="195">
        <v>13997.559858194709</v>
      </c>
      <c r="R3" s="196">
        <v>6.2585219525497685E-2</v>
      </c>
    </row>
    <row r="4" spans="1:22" ht="21.6" thickBot="1" x14ac:dyDescent="0.35">
      <c r="A4" s="316" t="s">
        <v>301</v>
      </c>
      <c r="B4" s="317"/>
      <c r="C4" s="317"/>
      <c r="D4" s="317"/>
      <c r="E4" s="317"/>
      <c r="F4" s="317"/>
      <c r="G4" s="317"/>
      <c r="H4" s="317"/>
      <c r="I4" s="317"/>
      <c r="J4" s="317"/>
      <c r="K4" s="317"/>
      <c r="P4" s="165">
        <v>2027</v>
      </c>
      <c r="Q4" s="195">
        <v>50935.565039541863</v>
      </c>
      <c r="R4" s="196">
        <v>0.22774065994000547</v>
      </c>
    </row>
    <row r="5" spans="1:22" ht="44.25" customHeight="1" thickBot="1" x14ac:dyDescent="0.35">
      <c r="A5" s="344"/>
      <c r="B5" s="344"/>
      <c r="C5" s="345"/>
      <c r="D5" s="7" t="s">
        <v>211</v>
      </c>
      <c r="E5" s="54" t="s">
        <v>48</v>
      </c>
      <c r="F5" s="54">
        <v>2026</v>
      </c>
      <c r="G5" s="54">
        <v>2027</v>
      </c>
      <c r="H5" s="54">
        <v>2028</v>
      </c>
      <c r="I5" s="54">
        <v>2029</v>
      </c>
      <c r="J5" s="54">
        <v>2030</v>
      </c>
      <c r="K5" s="7" t="s">
        <v>212</v>
      </c>
      <c r="P5" s="165">
        <v>2028</v>
      </c>
      <c r="Q5" s="195">
        <v>68836.58385601308</v>
      </c>
      <c r="R5" s="196">
        <v>0.30777883828742836</v>
      </c>
    </row>
    <row r="6" spans="1:22" ht="20.25" customHeight="1" thickBot="1" x14ac:dyDescent="0.35">
      <c r="A6" s="346"/>
      <c r="B6" s="346"/>
      <c r="C6" s="347"/>
      <c r="D6" s="66" t="s">
        <v>252</v>
      </c>
      <c r="E6" s="157" t="s">
        <v>284</v>
      </c>
      <c r="F6" s="158">
        <v>13228</v>
      </c>
      <c r="G6" s="158">
        <v>48134</v>
      </c>
      <c r="H6" s="158">
        <v>65048</v>
      </c>
      <c r="I6" s="158">
        <v>56866</v>
      </c>
      <c r="J6" s="158">
        <v>28076</v>
      </c>
      <c r="K6" s="159">
        <f>SUM(F6:J6)</f>
        <v>211352</v>
      </c>
      <c r="P6" s="165">
        <v>2029</v>
      </c>
      <c r="Q6" s="195">
        <v>60175.784292337055</v>
      </c>
      <c r="R6" s="196">
        <v>0.26905508590128169</v>
      </c>
    </row>
    <row r="7" spans="1:22" ht="17.25" customHeight="1" thickBot="1" x14ac:dyDescent="0.35">
      <c r="A7" s="346"/>
      <c r="B7" s="346"/>
      <c r="C7" s="347"/>
      <c r="D7" s="66" t="s">
        <v>339</v>
      </c>
      <c r="E7" s="157" t="s">
        <v>284</v>
      </c>
      <c r="F7" s="158">
        <v>63</v>
      </c>
      <c r="G7" s="158">
        <v>228</v>
      </c>
      <c r="H7" s="158">
        <v>308</v>
      </c>
      <c r="I7" s="158">
        <v>269</v>
      </c>
      <c r="J7" s="158">
        <v>132</v>
      </c>
      <c r="K7" s="159">
        <f>SUM(F7:J7)</f>
        <v>1000</v>
      </c>
      <c r="M7" s="163"/>
      <c r="P7" s="165">
        <v>2030</v>
      </c>
      <c r="Q7" s="195">
        <v>29710.506953913278</v>
      </c>
      <c r="R7" s="196">
        <v>0.13284019634578673</v>
      </c>
      <c r="S7" s="175"/>
      <c r="T7" s="175"/>
    </row>
    <row r="8" spans="1:22" ht="16.05" customHeight="1" thickBot="1" x14ac:dyDescent="0.35">
      <c r="A8" s="346"/>
      <c r="B8" s="346"/>
      <c r="C8" s="347"/>
      <c r="D8" s="66" t="s">
        <v>213</v>
      </c>
      <c r="E8" s="160" t="s">
        <v>284</v>
      </c>
      <c r="F8" s="158">
        <v>254</v>
      </c>
      <c r="G8" s="158">
        <v>921</v>
      </c>
      <c r="H8" s="158">
        <v>1245</v>
      </c>
      <c r="I8" s="158">
        <v>1088</v>
      </c>
      <c r="J8" s="158">
        <v>537</v>
      </c>
      <c r="K8" s="159">
        <f t="shared" ref="K8:K18" si="0">SUM(F8:J8)</f>
        <v>4045</v>
      </c>
      <c r="M8" s="163"/>
      <c r="P8" s="165">
        <v>2031</v>
      </c>
      <c r="Q8" s="166"/>
      <c r="R8" s="175">
        <v>0</v>
      </c>
    </row>
    <row r="9" spans="1:22" ht="16.05" customHeight="1" thickBot="1" x14ac:dyDescent="0.35">
      <c r="A9" s="346"/>
      <c r="B9" s="346"/>
      <c r="C9" s="347"/>
      <c r="D9" s="9" t="s">
        <v>214</v>
      </c>
      <c r="E9" s="157" t="s">
        <v>284</v>
      </c>
      <c r="F9" s="158">
        <v>231</v>
      </c>
      <c r="G9" s="158">
        <v>841</v>
      </c>
      <c r="H9" s="158">
        <v>1136</v>
      </c>
      <c r="I9" s="158">
        <v>994</v>
      </c>
      <c r="J9" s="158">
        <v>491</v>
      </c>
      <c r="K9" s="159">
        <f t="shared" si="0"/>
        <v>3693</v>
      </c>
      <c r="L9" s="161"/>
      <c r="M9" s="163"/>
      <c r="P9" s="167" t="s">
        <v>222</v>
      </c>
      <c r="Q9" s="168">
        <f>SUM(Q3:Q8)</f>
        <v>223656</v>
      </c>
    </row>
    <row r="10" spans="1:22" ht="16.05" customHeight="1" thickBot="1" x14ac:dyDescent="0.35">
      <c r="A10" s="346"/>
      <c r="B10" s="346"/>
      <c r="C10" s="347"/>
      <c r="D10" s="9" t="s">
        <v>282</v>
      </c>
      <c r="E10" s="157" t="s">
        <v>284</v>
      </c>
      <c r="F10" s="158">
        <v>112</v>
      </c>
      <c r="G10" s="158">
        <v>409</v>
      </c>
      <c r="H10" s="158">
        <v>552</v>
      </c>
      <c r="I10" s="158">
        <v>483</v>
      </c>
      <c r="J10" s="158">
        <v>238</v>
      </c>
      <c r="K10" s="159">
        <f t="shared" si="0"/>
        <v>1794</v>
      </c>
      <c r="L10" s="161"/>
      <c r="M10" s="163"/>
      <c r="P10" s="1" t="s">
        <v>237</v>
      </c>
      <c r="Q10" s="175">
        <v>1.2544314153258795E-2</v>
      </c>
      <c r="R10" s="175">
        <v>0.20016362148895556</v>
      </c>
      <c r="S10" s="175">
        <v>0.31047177529315517</v>
      </c>
      <c r="T10" s="175">
        <v>0.29970002727024814</v>
      </c>
      <c r="U10" s="175">
        <v>0.17710000000000001</v>
      </c>
      <c r="V10" s="175">
        <v>0</v>
      </c>
    </row>
    <row r="11" spans="1:22" ht="16.05" customHeight="1" thickBot="1" x14ac:dyDescent="0.35">
      <c r="A11" s="346"/>
      <c r="B11" s="346"/>
      <c r="C11" s="347"/>
      <c r="D11" s="9" t="s">
        <v>215</v>
      </c>
      <c r="E11" s="157" t="s">
        <v>284</v>
      </c>
      <c r="F11" s="158">
        <v>90</v>
      </c>
      <c r="G11" s="158">
        <v>324</v>
      </c>
      <c r="H11" s="158">
        <v>438</v>
      </c>
      <c r="I11" s="158">
        <v>383</v>
      </c>
      <c r="J11" s="158">
        <v>189</v>
      </c>
      <c r="K11" s="159">
        <f t="shared" si="0"/>
        <v>1424</v>
      </c>
      <c r="L11" s="161"/>
      <c r="M11" s="163"/>
      <c r="N11" s="163"/>
    </row>
    <row r="12" spans="1:22" ht="16.05" customHeight="1" thickBot="1" x14ac:dyDescent="0.35">
      <c r="A12" s="346"/>
      <c r="B12" s="346"/>
      <c r="C12" s="347"/>
      <c r="D12" s="9" t="s">
        <v>216</v>
      </c>
      <c r="E12" s="164" t="s">
        <v>284</v>
      </c>
      <c r="F12" s="158">
        <v>12</v>
      </c>
      <c r="G12" s="158">
        <v>40</v>
      </c>
      <c r="H12" s="158">
        <v>54</v>
      </c>
      <c r="I12" s="158">
        <v>47</v>
      </c>
      <c r="J12" s="158">
        <v>23</v>
      </c>
      <c r="K12" s="159">
        <f t="shared" si="0"/>
        <v>176</v>
      </c>
      <c r="L12" s="161"/>
      <c r="M12" s="163"/>
      <c r="N12" s="163"/>
      <c r="R12" s="194">
        <v>13997.559858194709</v>
      </c>
      <c r="S12" s="194">
        <v>50935.565039541863</v>
      </c>
      <c r="T12" s="194">
        <v>68836.58385601308</v>
      </c>
      <c r="U12" s="194">
        <v>60175.784292337055</v>
      </c>
      <c r="V12" s="194">
        <v>29710.506953913278</v>
      </c>
    </row>
    <row r="13" spans="1:22" ht="16.05" customHeight="1" thickBot="1" x14ac:dyDescent="0.35">
      <c r="A13" s="346"/>
      <c r="B13" s="346"/>
      <c r="C13" s="347"/>
      <c r="D13" s="9" t="s">
        <v>217</v>
      </c>
      <c r="E13" s="164" t="s">
        <v>284</v>
      </c>
      <c r="F13" s="158">
        <v>4</v>
      </c>
      <c r="G13" s="158">
        <v>14</v>
      </c>
      <c r="H13" s="158">
        <v>19</v>
      </c>
      <c r="I13" s="158">
        <v>17</v>
      </c>
      <c r="J13" s="158">
        <v>8</v>
      </c>
      <c r="K13" s="159">
        <f>SUM(F13:J13)</f>
        <v>62</v>
      </c>
      <c r="L13" s="161"/>
      <c r="M13" s="163"/>
      <c r="N13" s="163"/>
      <c r="R13" s="196">
        <v>6.2585219525497685E-2</v>
      </c>
      <c r="S13" s="196">
        <v>0.22774065994000547</v>
      </c>
      <c r="T13" s="196">
        <v>0.30777883828742836</v>
      </c>
      <c r="U13" s="196">
        <v>0.26905508590128169</v>
      </c>
      <c r="V13" s="196">
        <v>0.13284019634578673</v>
      </c>
    </row>
    <row r="14" spans="1:22" ht="16.05" customHeight="1" thickBot="1" x14ac:dyDescent="0.35">
      <c r="A14" s="346"/>
      <c r="B14" s="346"/>
      <c r="C14" s="347"/>
      <c r="D14" s="9" t="s">
        <v>218</v>
      </c>
      <c r="E14" s="164" t="s">
        <v>284</v>
      </c>
      <c r="F14" s="158">
        <v>1</v>
      </c>
      <c r="G14" s="158">
        <v>5</v>
      </c>
      <c r="H14" s="158">
        <v>7</v>
      </c>
      <c r="I14" s="158">
        <v>6</v>
      </c>
      <c r="J14" s="158">
        <v>3</v>
      </c>
      <c r="K14" s="159">
        <f t="shared" si="0"/>
        <v>22</v>
      </c>
      <c r="L14" s="161"/>
      <c r="M14" s="163"/>
      <c r="N14" s="163"/>
    </row>
    <row r="15" spans="1:22" ht="16.05" customHeight="1" thickBot="1" x14ac:dyDescent="0.35">
      <c r="A15" s="346"/>
      <c r="B15" s="346"/>
      <c r="C15" s="347"/>
      <c r="D15" s="9" t="s">
        <v>219</v>
      </c>
      <c r="E15" s="164" t="s">
        <v>284</v>
      </c>
      <c r="F15" s="158">
        <v>0</v>
      </c>
      <c r="G15" s="158">
        <v>1</v>
      </c>
      <c r="H15" s="158">
        <v>1</v>
      </c>
      <c r="I15" s="158">
        <v>1</v>
      </c>
      <c r="J15" s="158">
        <v>1</v>
      </c>
      <c r="K15" s="159">
        <f t="shared" si="0"/>
        <v>4</v>
      </c>
      <c r="L15" s="161"/>
      <c r="M15" s="163"/>
      <c r="N15" s="163"/>
    </row>
    <row r="16" spans="1:22" ht="16.05" customHeight="1" thickBot="1" x14ac:dyDescent="0.35">
      <c r="A16" s="346"/>
      <c r="B16" s="346"/>
      <c r="C16" s="347"/>
      <c r="D16" s="164" t="s">
        <v>220</v>
      </c>
      <c r="E16" s="164" t="s">
        <v>284</v>
      </c>
      <c r="F16" s="158">
        <v>0</v>
      </c>
      <c r="G16" s="158">
        <v>0</v>
      </c>
      <c r="H16" s="158">
        <v>0</v>
      </c>
      <c r="I16" s="158">
        <v>1</v>
      </c>
      <c r="J16" s="158">
        <v>0</v>
      </c>
      <c r="K16" s="159">
        <f t="shared" si="0"/>
        <v>1</v>
      </c>
      <c r="L16" s="161"/>
      <c r="M16" s="161"/>
      <c r="N16" s="163"/>
    </row>
    <row r="17" spans="1:27" ht="16.05" customHeight="1" thickBot="1" x14ac:dyDescent="0.35">
      <c r="A17" s="346"/>
      <c r="B17" s="346"/>
      <c r="C17" s="347"/>
      <c r="D17" s="66" t="s">
        <v>252</v>
      </c>
      <c r="E17" s="164" t="s">
        <v>344</v>
      </c>
      <c r="F17" s="158">
        <v>0</v>
      </c>
      <c r="G17" s="158">
        <v>150</v>
      </c>
      <c r="H17" s="158">
        <v>150</v>
      </c>
      <c r="I17" s="158">
        <v>150</v>
      </c>
      <c r="J17" s="158">
        <v>50</v>
      </c>
      <c r="K17" s="159">
        <f t="shared" si="0"/>
        <v>500</v>
      </c>
      <c r="L17" s="161"/>
      <c r="M17" s="161"/>
      <c r="N17" s="163"/>
    </row>
    <row r="18" spans="1:27" ht="33" customHeight="1" thickBot="1" x14ac:dyDescent="0.35">
      <c r="A18" s="346"/>
      <c r="B18" s="346"/>
      <c r="C18" s="347"/>
      <c r="D18" s="66" t="s">
        <v>591</v>
      </c>
      <c r="E18" s="197" t="s">
        <v>592</v>
      </c>
      <c r="F18" s="158">
        <f>IF('B Meter and Radio Assumptions'!$F$6="Non-metallic",0.5*(SUM(F6:F9)),0)</f>
        <v>0</v>
      </c>
      <c r="G18" s="158">
        <f>IF('B Meter and Radio Assumptions'!$F$6="Non-metallic",0.5*(SUM(G6:G9)),0)</f>
        <v>0</v>
      </c>
      <c r="H18" s="158">
        <f>IF('B Meter and Radio Assumptions'!$F$6="Non-metallic",0.5*(SUM(H6:H9)),0)</f>
        <v>0</v>
      </c>
      <c r="I18" s="158">
        <f>IF('B Meter and Radio Assumptions'!$F$6="Non-metallic",0.5*(SUM(I6:I9)),0)</f>
        <v>0</v>
      </c>
      <c r="J18" s="158">
        <f>IF('B Meter and Radio Assumptions'!$F$6="Non-metallic",0.5*(SUM(J6:J9)),0)</f>
        <v>0</v>
      </c>
      <c r="K18" s="159">
        <f t="shared" si="0"/>
        <v>0</v>
      </c>
      <c r="L18" s="161"/>
      <c r="M18" s="161"/>
      <c r="N18" s="163"/>
    </row>
    <row r="19" spans="1:27" ht="33.75" customHeight="1" thickBot="1" x14ac:dyDescent="0.35">
      <c r="A19" s="346"/>
      <c r="B19" s="346"/>
      <c r="C19" s="347"/>
      <c r="D19" s="343" t="s">
        <v>594</v>
      </c>
      <c r="E19" s="343"/>
      <c r="F19" s="162">
        <f t="shared" ref="F19:K19" si="1">+SUM(F6:F16)</f>
        <v>13995</v>
      </c>
      <c r="G19" s="162">
        <f t="shared" si="1"/>
        <v>50917</v>
      </c>
      <c r="H19" s="162">
        <f t="shared" si="1"/>
        <v>68808</v>
      </c>
      <c r="I19" s="162">
        <f t="shared" si="1"/>
        <v>60155</v>
      </c>
      <c r="J19" s="162">
        <f t="shared" si="1"/>
        <v>29698</v>
      </c>
      <c r="K19" s="162">
        <f t="shared" si="1"/>
        <v>223573</v>
      </c>
      <c r="M19" s="163"/>
      <c r="P19" s="169"/>
      <c r="Q19" s="341" t="s">
        <v>223</v>
      </c>
      <c r="R19" s="342"/>
      <c r="S19" s="170"/>
      <c r="T19" s="170"/>
      <c r="U19" s="171"/>
    </row>
    <row r="20" spans="1:27" ht="49.5" customHeight="1" thickBot="1" x14ac:dyDescent="0.35">
      <c r="P20" s="172" t="s">
        <v>211</v>
      </c>
      <c r="Q20" s="172" t="s">
        <v>224</v>
      </c>
      <c r="R20" s="172" t="s">
        <v>225</v>
      </c>
      <c r="S20" s="172" t="s">
        <v>225</v>
      </c>
      <c r="T20" s="177" t="s">
        <v>251</v>
      </c>
      <c r="U20" s="172" t="s">
        <v>226</v>
      </c>
      <c r="V20" s="141">
        <v>2026</v>
      </c>
      <c r="W20" s="141">
        <v>2027</v>
      </c>
      <c r="X20" s="141">
        <v>2028</v>
      </c>
      <c r="Y20" s="141">
        <v>2029</v>
      </c>
      <c r="Z20" s="141">
        <v>2030</v>
      </c>
      <c r="AA20" s="141"/>
    </row>
    <row r="21" spans="1:27" ht="44.25" customHeight="1" thickBot="1" x14ac:dyDescent="0.35">
      <c r="P21" s="173" t="s">
        <v>227</v>
      </c>
      <c r="Q21" s="178">
        <v>211350</v>
      </c>
      <c r="R21" s="173">
        <v>0</v>
      </c>
      <c r="S21" s="173">
        <v>0</v>
      </c>
      <c r="T21" s="173">
        <v>0</v>
      </c>
      <c r="U21" s="179">
        <f t="shared" ref="U21:U31" si="2">SUM(Q21:S21)</f>
        <v>211350</v>
      </c>
      <c r="V21" s="141">
        <f>ROUND($R$3*Q21,0)+1</f>
        <v>13228</v>
      </c>
      <c r="W21" s="141">
        <f>ROUND($R$4*Q21,0)+1</f>
        <v>48134</v>
      </c>
      <c r="X21" s="141">
        <f>ROUND($R$5*Q21,0)+1</f>
        <v>65050</v>
      </c>
      <c r="Y21" s="141">
        <f>ROUND($R$6*Q21,0)+1</f>
        <v>56866</v>
      </c>
      <c r="Z21" s="141">
        <f>ROUND($R$7*Q21,0)</f>
        <v>28076</v>
      </c>
      <c r="AA21" s="141">
        <f t="shared" ref="AA21:AA31" si="3">SUM(V21:Z21)</f>
        <v>211354</v>
      </c>
    </row>
    <row r="22" spans="1:27" ht="44.25" customHeight="1" thickBot="1" x14ac:dyDescent="0.35">
      <c r="P22" s="173" t="s">
        <v>340</v>
      </c>
      <c r="Q22" s="178">
        <v>1000</v>
      </c>
      <c r="R22" s="173">
        <v>0</v>
      </c>
      <c r="S22" s="173">
        <v>0</v>
      </c>
      <c r="T22" s="173">
        <v>0</v>
      </c>
      <c r="U22" s="179">
        <v>1000</v>
      </c>
      <c r="V22" s="141">
        <f>ROUND($R$3*Q22,0)+1</f>
        <v>64</v>
      </c>
      <c r="W22" s="141">
        <f>ROUND($R$4*Q22,0)+1</f>
        <v>229</v>
      </c>
      <c r="X22" s="141">
        <f>ROUND($R$5*Q22,0)+1</f>
        <v>309</v>
      </c>
      <c r="Y22" s="141">
        <f>ROUND($R$6*Q22,0)+1</f>
        <v>270</v>
      </c>
      <c r="Z22" s="141">
        <f>ROUND($R$7*Q22,0)</f>
        <v>133</v>
      </c>
      <c r="AA22" s="141">
        <f t="shared" si="3"/>
        <v>1005</v>
      </c>
    </row>
    <row r="23" spans="1:27" ht="16.05" customHeight="1" thickBot="1" x14ac:dyDescent="0.35">
      <c r="P23" s="173" t="s">
        <v>228</v>
      </c>
      <c r="Q23" s="178">
        <v>4045.5986311415304</v>
      </c>
      <c r="R23" s="173">
        <v>0</v>
      </c>
      <c r="S23" s="173">
        <v>0</v>
      </c>
      <c r="T23" s="173">
        <v>0</v>
      </c>
      <c r="U23" s="179">
        <f t="shared" si="2"/>
        <v>4045.5986311415304</v>
      </c>
      <c r="V23" s="141">
        <f>ROUND($R$3*Q23,0)+1</f>
        <v>254</v>
      </c>
      <c r="W23" s="141">
        <f t="shared" ref="W23:W32" si="4">ROUND($R$4*Q23,0)</f>
        <v>921</v>
      </c>
      <c r="X23" s="141">
        <f t="shared" ref="X23:X32" si="5">ROUND($R$5*Q23,0)</f>
        <v>1245</v>
      </c>
      <c r="Y23" s="141">
        <f t="shared" ref="Y23:Y30" si="6">ROUND($R$6*Q23,0)</f>
        <v>1088</v>
      </c>
      <c r="Z23" s="141">
        <f t="shared" ref="Z23:Z32" si="7">ROUND($R$7*Q23,0)</f>
        <v>537</v>
      </c>
      <c r="AA23" s="141">
        <f t="shared" si="3"/>
        <v>4045</v>
      </c>
    </row>
    <row r="24" spans="1:27" ht="16.05" customHeight="1" thickBot="1" x14ac:dyDescent="0.35">
      <c r="P24" s="173" t="s">
        <v>229</v>
      </c>
      <c r="Q24" s="178">
        <v>3692.5647084385778</v>
      </c>
      <c r="R24" s="173">
        <v>24</v>
      </c>
      <c r="S24" s="173">
        <v>0</v>
      </c>
      <c r="T24" s="173">
        <v>0</v>
      </c>
      <c r="U24" s="179">
        <f t="shared" si="2"/>
        <v>3716.5647084385778</v>
      </c>
      <c r="V24" s="141">
        <f t="shared" ref="V24:V32" si="8">ROUND($R$3*Q24,0)</f>
        <v>231</v>
      </c>
      <c r="W24" s="141">
        <f t="shared" si="4"/>
        <v>841</v>
      </c>
      <c r="X24" s="141">
        <f t="shared" si="5"/>
        <v>1136</v>
      </c>
      <c r="Y24" s="141">
        <f t="shared" si="6"/>
        <v>994</v>
      </c>
      <c r="Z24" s="141">
        <f t="shared" si="7"/>
        <v>491</v>
      </c>
      <c r="AA24" s="141">
        <f t="shared" si="3"/>
        <v>3693</v>
      </c>
    </row>
    <row r="25" spans="1:27" ht="28.5" customHeight="1" thickBot="1" x14ac:dyDescent="0.35">
      <c r="P25" s="173" t="s">
        <v>230</v>
      </c>
      <c r="Q25" s="178">
        <v>1795.019011923192</v>
      </c>
      <c r="R25" s="173">
        <v>1</v>
      </c>
      <c r="S25" s="173">
        <v>0</v>
      </c>
      <c r="T25" s="173">
        <v>0</v>
      </c>
      <c r="U25" s="179">
        <f t="shared" si="2"/>
        <v>1796.019011923192</v>
      </c>
      <c r="V25" s="141">
        <f t="shared" si="8"/>
        <v>112</v>
      </c>
      <c r="W25" s="141">
        <f t="shared" si="4"/>
        <v>409</v>
      </c>
      <c r="X25" s="141">
        <f t="shared" si="5"/>
        <v>552</v>
      </c>
      <c r="Y25" s="141">
        <f t="shared" si="6"/>
        <v>483</v>
      </c>
      <c r="Z25" s="141">
        <f t="shared" si="7"/>
        <v>238</v>
      </c>
      <c r="AA25" s="141">
        <f t="shared" si="3"/>
        <v>1794</v>
      </c>
    </row>
    <row r="26" spans="1:27" ht="16.05" customHeight="1" thickBot="1" x14ac:dyDescent="0.35">
      <c r="P26" s="173" t="s">
        <v>231</v>
      </c>
      <c r="Q26" s="178">
        <v>1424.6747874738587</v>
      </c>
      <c r="R26" s="173">
        <v>17</v>
      </c>
      <c r="S26" s="173">
        <v>0</v>
      </c>
      <c r="T26" s="173">
        <v>0</v>
      </c>
      <c r="U26" s="179">
        <f t="shared" si="2"/>
        <v>1441.6747874738587</v>
      </c>
      <c r="V26" s="141">
        <f>ROUND($R$3*Q26,0)+1</f>
        <v>90</v>
      </c>
      <c r="W26" s="141">
        <f t="shared" si="4"/>
        <v>324</v>
      </c>
      <c r="X26" s="141">
        <f t="shared" si="5"/>
        <v>438</v>
      </c>
      <c r="Y26" s="141">
        <f t="shared" si="6"/>
        <v>383</v>
      </c>
      <c r="Z26" s="141">
        <f t="shared" si="7"/>
        <v>189</v>
      </c>
      <c r="AA26" s="141">
        <f t="shared" si="3"/>
        <v>1424</v>
      </c>
    </row>
    <row r="27" spans="1:27" ht="15" customHeight="1" thickBot="1" x14ac:dyDescent="0.35">
      <c r="P27" s="173" t="s">
        <v>232</v>
      </c>
      <c r="Q27" s="178">
        <v>175.53206225046853</v>
      </c>
      <c r="R27" s="173">
        <v>27</v>
      </c>
      <c r="S27" s="173">
        <v>4</v>
      </c>
      <c r="T27" s="173">
        <v>0</v>
      </c>
      <c r="U27" s="179">
        <f t="shared" si="2"/>
        <v>206.53206225046853</v>
      </c>
      <c r="V27" s="141">
        <f>ROUND($R$3*Q27,0)+1</f>
        <v>12</v>
      </c>
      <c r="W27" s="141">
        <f t="shared" si="4"/>
        <v>40</v>
      </c>
      <c r="X27" s="141">
        <f t="shared" si="5"/>
        <v>54</v>
      </c>
      <c r="Y27" s="141">
        <f t="shared" si="6"/>
        <v>47</v>
      </c>
      <c r="Z27" s="141">
        <f t="shared" si="7"/>
        <v>23</v>
      </c>
      <c r="AA27" s="141">
        <f t="shared" si="3"/>
        <v>176</v>
      </c>
    </row>
    <row r="28" spans="1:27" ht="16.05" customHeight="1" thickBot="1" x14ac:dyDescent="0.35">
      <c r="P28" s="173" t="s">
        <v>233</v>
      </c>
      <c r="Q28" s="178">
        <v>61.781960400879981</v>
      </c>
      <c r="R28" s="173">
        <v>1</v>
      </c>
      <c r="S28" s="173">
        <v>1</v>
      </c>
      <c r="T28" s="173">
        <v>0</v>
      </c>
      <c r="U28" s="179">
        <f t="shared" si="2"/>
        <v>63.781960400879981</v>
      </c>
      <c r="V28" s="141">
        <f t="shared" si="8"/>
        <v>4</v>
      </c>
      <c r="W28" s="141">
        <f t="shared" si="4"/>
        <v>14</v>
      </c>
      <c r="X28" s="141">
        <f t="shared" si="5"/>
        <v>19</v>
      </c>
      <c r="Y28" s="141">
        <f t="shared" si="6"/>
        <v>17</v>
      </c>
      <c r="Z28" s="141">
        <f t="shared" si="7"/>
        <v>8</v>
      </c>
      <c r="AA28" s="141">
        <f t="shared" si="3"/>
        <v>62</v>
      </c>
    </row>
    <row r="29" spans="1:27" ht="16.05" customHeight="1" thickBot="1" x14ac:dyDescent="0.35">
      <c r="P29" s="173" t="s">
        <v>234</v>
      </c>
      <c r="Q29" s="178">
        <v>22.335125886091419</v>
      </c>
      <c r="R29" s="173">
        <v>5</v>
      </c>
      <c r="S29" s="173">
        <v>0</v>
      </c>
      <c r="T29" s="173">
        <v>0</v>
      </c>
      <c r="U29" s="179">
        <f t="shared" si="2"/>
        <v>27.335125886091419</v>
      </c>
      <c r="V29" s="141">
        <f t="shared" si="8"/>
        <v>1</v>
      </c>
      <c r="W29" s="141">
        <f t="shared" si="4"/>
        <v>5</v>
      </c>
      <c r="X29" s="141">
        <f t="shared" si="5"/>
        <v>7</v>
      </c>
      <c r="Y29" s="141">
        <f t="shared" si="6"/>
        <v>6</v>
      </c>
      <c r="Z29" s="141">
        <f t="shared" si="7"/>
        <v>3</v>
      </c>
      <c r="AA29" s="141">
        <f t="shared" si="3"/>
        <v>22</v>
      </c>
    </row>
    <row r="30" spans="1:27" ht="16.05" customHeight="1" thickBot="1" x14ac:dyDescent="0.35">
      <c r="P30" s="173" t="s">
        <v>235</v>
      </c>
      <c r="Q30" s="178">
        <v>4.0744724191314265</v>
      </c>
      <c r="R30" s="173">
        <v>2</v>
      </c>
      <c r="S30" s="173">
        <v>0</v>
      </c>
      <c r="T30" s="173">
        <v>0</v>
      </c>
      <c r="U30" s="179">
        <f t="shared" si="2"/>
        <v>6.0744724191314265</v>
      </c>
      <c r="V30" s="141">
        <f t="shared" si="8"/>
        <v>0</v>
      </c>
      <c r="W30" s="141">
        <f t="shared" si="4"/>
        <v>1</v>
      </c>
      <c r="X30" s="141">
        <f t="shared" si="5"/>
        <v>1</v>
      </c>
      <c r="Y30" s="141">
        <f t="shared" si="6"/>
        <v>1</v>
      </c>
      <c r="Z30" s="141">
        <f t="shared" si="7"/>
        <v>1</v>
      </c>
      <c r="AA30" s="141">
        <f t="shared" si="3"/>
        <v>4</v>
      </c>
    </row>
    <row r="31" spans="1:27" ht="16.05" customHeight="1" thickBot="1" x14ac:dyDescent="0.35">
      <c r="P31" s="173" t="s">
        <v>236</v>
      </c>
      <c r="Q31" s="178">
        <v>1.0248241397104754</v>
      </c>
      <c r="R31" s="173">
        <v>1</v>
      </c>
      <c r="S31" s="173">
        <v>0</v>
      </c>
      <c r="T31" s="173">
        <v>0</v>
      </c>
      <c r="U31" s="179">
        <f t="shared" si="2"/>
        <v>2.0248241397104754</v>
      </c>
      <c r="V31" s="141">
        <f t="shared" si="8"/>
        <v>0</v>
      </c>
      <c r="W31" s="141">
        <f t="shared" si="4"/>
        <v>0</v>
      </c>
      <c r="X31" s="141">
        <f t="shared" si="5"/>
        <v>0</v>
      </c>
      <c r="Y31" s="141">
        <f>ROUND($R$6*Q31,0)+1</f>
        <v>1</v>
      </c>
      <c r="Z31" s="141">
        <f t="shared" si="7"/>
        <v>0</v>
      </c>
      <c r="AA31" s="141">
        <f t="shared" si="3"/>
        <v>1</v>
      </c>
    </row>
    <row r="32" spans="1:27" ht="16.05" customHeight="1" thickBot="1" x14ac:dyDescent="0.35">
      <c r="P32" s="173" t="s">
        <v>250</v>
      </c>
      <c r="Q32" s="178"/>
      <c r="R32" s="173"/>
      <c r="S32" s="173"/>
      <c r="T32" s="173">
        <v>110</v>
      </c>
      <c r="U32" s="174">
        <v>110</v>
      </c>
      <c r="V32" s="141">
        <f t="shared" si="8"/>
        <v>0</v>
      </c>
      <c r="W32" s="141">
        <f t="shared" si="4"/>
        <v>0</v>
      </c>
      <c r="X32" s="141">
        <f t="shared" si="5"/>
        <v>0</v>
      </c>
      <c r="Y32" s="141">
        <f>ROUND($R$6*Q32,0)</f>
        <v>0</v>
      </c>
      <c r="Z32" s="141">
        <f t="shared" si="7"/>
        <v>0</v>
      </c>
      <c r="AA32" s="141"/>
    </row>
    <row r="33" spans="16:27" ht="15" thickBot="1" x14ac:dyDescent="0.35">
      <c r="P33" s="174" t="s">
        <v>226</v>
      </c>
      <c r="Q33" s="179">
        <f>SUM(Q21:Q31)</f>
        <v>223572.60558407346</v>
      </c>
      <c r="R33" s="174">
        <f>SUM(R21:R31)</f>
        <v>78</v>
      </c>
      <c r="S33" s="174">
        <f>SUM(S21:S31)</f>
        <v>5</v>
      </c>
      <c r="T33" s="174">
        <v>110</v>
      </c>
      <c r="U33" s="179">
        <f>SUM(U21:U31)</f>
        <v>223655.60558407346</v>
      </c>
      <c r="V33" s="141">
        <f>SUM(V21:V31)</f>
        <v>13996</v>
      </c>
      <c r="W33" s="141">
        <f t="shared" ref="W33:Z33" si="9">SUM(W21:W31)</f>
        <v>50918</v>
      </c>
      <c r="X33" s="141">
        <f t="shared" si="9"/>
        <v>68811</v>
      </c>
      <c r="Y33" s="141">
        <f t="shared" si="9"/>
        <v>60156</v>
      </c>
      <c r="Z33" s="141">
        <f t="shared" si="9"/>
        <v>29699</v>
      </c>
      <c r="AA33" s="141">
        <f>SUM(V33:Z33)</f>
        <v>223580</v>
      </c>
    </row>
    <row r="35" spans="16:27" x14ac:dyDescent="0.3">
      <c r="Q35" s="194"/>
    </row>
    <row r="36" spans="16:27" x14ac:dyDescent="0.3">
      <c r="Q36" s="194"/>
    </row>
    <row r="37" spans="16:27" x14ac:dyDescent="0.3">
      <c r="Q37" s="194"/>
    </row>
    <row r="38" spans="16:27" x14ac:dyDescent="0.3">
      <c r="Q38" s="194"/>
    </row>
    <row r="39" spans="16:27" x14ac:dyDescent="0.3">
      <c r="Q39" s="194"/>
    </row>
    <row r="40" spans="16:27" x14ac:dyDescent="0.3">
      <c r="Q40" s="194"/>
    </row>
    <row r="41" spans="16:27" x14ac:dyDescent="0.3">
      <c r="Q41" s="194"/>
    </row>
    <row r="42" spans="16:27" x14ac:dyDescent="0.3">
      <c r="Q42" s="194"/>
    </row>
    <row r="43" spans="16:27" x14ac:dyDescent="0.3">
      <c r="Q43" s="194"/>
    </row>
    <row r="44" spans="16:27" x14ac:dyDescent="0.3">
      <c r="Q44" s="194"/>
    </row>
    <row r="45" spans="16:27" x14ac:dyDescent="0.3">
      <c r="Q45" s="194"/>
    </row>
    <row r="46" spans="16:27" x14ac:dyDescent="0.3">
      <c r="Q46" s="194"/>
    </row>
  </sheetData>
  <sheetProtection algorithmName="SHA-512" hashValue="Spt99ugmhGDWEQXwF/wgqXBvRhopOCu8r4lDR5y8lxTK2AkBDLeLDg/mOjR/Exe9R6XStDoqDV9jq6NoqM3MCA==" saltValue="ucd52IxqF0nHnbzw8Hrq5w==" spinCount="100000" sheet="1" objects="1" scenarios="1"/>
  <mergeCells count="11">
    <mergeCell ref="A1:D1"/>
    <mergeCell ref="E1:K1"/>
    <mergeCell ref="A2:D2"/>
    <mergeCell ref="E2:K2"/>
    <mergeCell ref="A3:D3"/>
    <mergeCell ref="E3:K3"/>
    <mergeCell ref="A4:K4"/>
    <mergeCell ref="P2:Q2"/>
    <mergeCell ref="Q19:R19"/>
    <mergeCell ref="D19:E19"/>
    <mergeCell ref="A5:C19"/>
  </mergeCells>
  <pageMargins left="0.70866141732283472" right="0.70866141732283472" top="0.74803149606299213" bottom="0.74803149606299213" header="0.31496062992125984" footer="0.31496062992125984"/>
  <pageSetup orientation="landscape" horizontalDpi="1200" verticalDpi="1200" r:id="rId1"/>
  <headerFooter>
    <oddHeader>&amp;CCity of Winnipeg
497-2025-Form_B-Prices Water Meter Renewal and AMS Project</oddHeader>
    <oddFooter>&amp;LCity of Winnipeg, MB</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tabColor theme="7" tint="0.79998168889431442"/>
    <pageSetUpPr fitToPage="1"/>
  </sheetPr>
  <dimension ref="A1:N61"/>
  <sheetViews>
    <sheetView zoomScale="90" zoomScaleNormal="90" workbookViewId="0">
      <selection activeCell="P16" sqref="P16"/>
    </sheetView>
  </sheetViews>
  <sheetFormatPr defaultColWidth="9.21875" defaultRowHeight="14.4" x14ac:dyDescent="0.3"/>
  <cols>
    <col min="1" max="1" width="9.21875" style="1"/>
    <col min="2" max="2" width="17.21875" style="1" customWidth="1"/>
    <col min="3" max="3" width="59.21875" style="1" customWidth="1"/>
    <col min="4" max="4" width="49.21875" style="1" customWidth="1"/>
    <col min="5" max="5" width="13" style="1" customWidth="1"/>
    <col min="6" max="6" width="14.77734375" style="1" hidden="1" customWidth="1"/>
    <col min="7" max="7" width="14.5546875" style="1" customWidth="1"/>
    <col min="8" max="8" width="18" style="1" customWidth="1"/>
    <col min="9" max="10" width="16.5546875" style="1" customWidth="1"/>
    <col min="11" max="13" width="16.77734375" style="1" customWidth="1"/>
    <col min="14" max="14" width="23.44140625" style="1" bestFit="1" customWidth="1"/>
    <col min="15" max="16384" width="9.21875" style="1"/>
  </cols>
  <sheetData>
    <row r="1" spans="1:14" ht="21.75" customHeight="1" thickBot="1" x14ac:dyDescent="0.35">
      <c r="A1" s="279" t="s">
        <v>1</v>
      </c>
      <c r="B1" s="280"/>
      <c r="C1" s="280"/>
      <c r="D1" s="281"/>
      <c r="E1" s="270" t="str">
        <f>+'B Price Form Summary'!E1</f>
        <v>City of Winnipeg</v>
      </c>
      <c r="F1" s="271"/>
      <c r="G1" s="271"/>
      <c r="H1" s="271"/>
      <c r="I1" s="271"/>
      <c r="J1" s="271"/>
      <c r="K1" s="272"/>
      <c r="L1" s="106"/>
    </row>
    <row r="2" spans="1:14" ht="21.6" thickBot="1" x14ac:dyDescent="0.35">
      <c r="A2" s="279" t="s">
        <v>2</v>
      </c>
      <c r="B2" s="280"/>
      <c r="C2" s="280"/>
      <c r="D2" s="281"/>
      <c r="E2" s="348" t="str">
        <f>+'B Price Form Summary'!E2</f>
        <v>Name of Proponent</v>
      </c>
      <c r="F2" s="349"/>
      <c r="G2" s="349"/>
      <c r="H2" s="349"/>
      <c r="I2" s="349"/>
      <c r="J2" s="349"/>
      <c r="K2" s="350"/>
    </row>
    <row r="3" spans="1:14" ht="40.799999999999997" customHeight="1" thickBot="1" x14ac:dyDescent="0.35">
      <c r="A3" s="279" t="s">
        <v>3</v>
      </c>
      <c r="B3" s="280"/>
      <c r="C3" s="280"/>
      <c r="D3" s="280"/>
      <c r="E3" s="348" t="str">
        <f>+'B Price Form Summary'!E3</f>
        <v>497-2025_RFP - Supply of Advanced Meter Infrastructure and Water Meter Solution</v>
      </c>
      <c r="F3" s="349"/>
      <c r="G3" s="349"/>
      <c r="H3" s="349"/>
      <c r="I3" s="349"/>
      <c r="J3" s="349"/>
      <c r="K3" s="350"/>
    </row>
    <row r="4" spans="1:14" ht="21.6" thickBot="1" x14ac:dyDescent="0.35">
      <c r="A4" s="355" t="str">
        <f>'B Price Form Summary'!F8</f>
        <v>B2 - AMI Network &amp; Radio</v>
      </c>
      <c r="B4" s="356"/>
      <c r="C4" s="356"/>
      <c r="D4" s="356"/>
      <c r="E4" s="356"/>
      <c r="F4" s="356"/>
      <c r="G4" s="356"/>
      <c r="H4" s="356"/>
      <c r="I4" s="356"/>
      <c r="J4" s="356"/>
      <c r="K4" s="357"/>
    </row>
    <row r="5" spans="1:14" ht="51.75" customHeight="1" thickBot="1" x14ac:dyDescent="0.35">
      <c r="A5" s="324" t="s">
        <v>61</v>
      </c>
      <c r="B5" s="325"/>
      <c r="C5" s="325"/>
      <c r="D5" s="325"/>
      <c r="E5" s="325"/>
      <c r="F5" s="325"/>
      <c r="G5" s="325"/>
      <c r="H5" s="325"/>
      <c r="I5" s="325"/>
      <c r="J5" s="325"/>
      <c r="K5" s="326"/>
    </row>
    <row r="6" spans="1:14" ht="31.8" thickBot="1" x14ac:dyDescent="0.35">
      <c r="A6" s="6" t="s">
        <v>46</v>
      </c>
      <c r="B6" s="6" t="s">
        <v>47</v>
      </c>
      <c r="C6" s="7" t="s">
        <v>48</v>
      </c>
      <c r="D6" s="7" t="s">
        <v>49</v>
      </c>
      <c r="E6" s="7" t="s">
        <v>50</v>
      </c>
      <c r="F6" s="7" t="s">
        <v>62</v>
      </c>
      <c r="G6" s="7" t="s">
        <v>51</v>
      </c>
      <c r="H6" s="7" t="s">
        <v>52</v>
      </c>
      <c r="I6" s="8">
        <v>2026</v>
      </c>
      <c r="J6" s="8">
        <v>2027</v>
      </c>
      <c r="K6" s="8">
        <v>2028</v>
      </c>
      <c r="L6" s="8">
        <v>2029</v>
      </c>
      <c r="M6" s="8">
        <v>2030</v>
      </c>
      <c r="N6" s="8" t="s">
        <v>226</v>
      </c>
    </row>
    <row r="7" spans="1:14" ht="135" customHeight="1" thickBot="1" x14ac:dyDescent="0.35">
      <c r="A7" s="84" t="s">
        <v>303</v>
      </c>
      <c r="B7" s="190" t="s">
        <v>85</v>
      </c>
      <c r="C7" s="109" t="s">
        <v>332</v>
      </c>
      <c r="D7" s="9" t="s">
        <v>63</v>
      </c>
      <c r="E7" s="27" t="s">
        <v>55</v>
      </c>
      <c r="F7" s="9"/>
      <c r="G7" s="181">
        <f>1-'B Meter and Radio Assumptions'!F7</f>
        <v>1</v>
      </c>
      <c r="H7" s="91">
        <f>+ROUND(G7*'B2A Radio Qty by Year'!M2,0)</f>
        <v>223656</v>
      </c>
      <c r="I7" s="12">
        <v>0</v>
      </c>
      <c r="J7" s="12">
        <v>0</v>
      </c>
      <c r="K7" s="12">
        <v>0</v>
      </c>
      <c r="L7" s="12">
        <v>0</v>
      </c>
      <c r="M7" s="12">
        <v>0</v>
      </c>
      <c r="N7" s="13">
        <f>IF(H7&gt;0,(I7*'B2A Radio Qty by Year'!F6)+(J7*'B2A Radio Qty by Year'!G6)+(K7*'B2A Radio Qty by Year'!H6)+(L7*'B2A Radio Qty by Year'!I6)+(M7*'B2A Radio Qty by Year'!J6),0)</f>
        <v>0</v>
      </c>
    </row>
    <row r="8" spans="1:14" ht="147.75" customHeight="1" thickBot="1" x14ac:dyDescent="0.35">
      <c r="A8" s="84" t="s">
        <v>304</v>
      </c>
      <c r="B8" s="190" t="s">
        <v>85</v>
      </c>
      <c r="C8" s="109" t="s">
        <v>333</v>
      </c>
      <c r="D8" s="9" t="s">
        <v>64</v>
      </c>
      <c r="E8" s="27" t="s">
        <v>55</v>
      </c>
      <c r="F8" s="9"/>
      <c r="G8" s="181">
        <f>'B Meter and Radio Assumptions'!F7</f>
        <v>0</v>
      </c>
      <c r="H8" s="91">
        <f>+ROUND(G8*'B2A Radio Qty by Year'!M2,0)</f>
        <v>0</v>
      </c>
      <c r="I8" s="12">
        <v>0</v>
      </c>
      <c r="J8" s="12">
        <v>0</v>
      </c>
      <c r="K8" s="12">
        <v>0</v>
      </c>
      <c r="L8" s="12">
        <v>0</v>
      </c>
      <c r="M8" s="12">
        <v>0</v>
      </c>
      <c r="N8" s="13">
        <f>IF(H8&gt;0,(I8*'B2A Radio Qty by Year'!F7)+(J8*'B2A Radio Qty by Year'!G7)+(K8*'B2A Radio Qty by Year'!H7)+(L8*'B2A Radio Qty by Year'!I7)+(M8*'B2A Radio Qty by Year'!J7),0)</f>
        <v>0</v>
      </c>
    </row>
    <row r="9" spans="1:14" ht="136.5" customHeight="1" thickBot="1" x14ac:dyDescent="0.35">
      <c r="A9" s="84" t="s">
        <v>305</v>
      </c>
      <c r="B9" s="190" t="s">
        <v>85</v>
      </c>
      <c r="C9" s="109" t="s">
        <v>511</v>
      </c>
      <c r="D9" s="9" t="s">
        <v>334</v>
      </c>
      <c r="E9" s="27" t="s">
        <v>55</v>
      </c>
      <c r="F9" s="9"/>
      <c r="G9" s="181"/>
      <c r="H9" s="91">
        <v>33</v>
      </c>
      <c r="I9" s="12">
        <v>0</v>
      </c>
      <c r="J9" s="12">
        <v>0</v>
      </c>
      <c r="K9" s="12">
        <v>0</v>
      </c>
      <c r="L9" s="12">
        <v>0</v>
      </c>
      <c r="M9" s="12">
        <v>0</v>
      </c>
      <c r="N9" s="13">
        <f>(I9*'B2A Radio Qty by Year'!F8)+(J9*'B2A Radio Qty by Year'!G8)+(K9*'B2A Radio Qty by Year'!H8)+(L9*'B2A Radio Qty by Year'!I8)+(M9*'B2A Radio Qty by Year'!J8)</f>
        <v>0</v>
      </c>
    </row>
    <row r="10" spans="1:14" ht="8.25" hidden="1" customHeight="1" thickBot="1" x14ac:dyDescent="0.35">
      <c r="A10" s="8"/>
      <c r="B10" s="8"/>
      <c r="C10" s="8"/>
      <c r="D10" s="8"/>
      <c r="E10" s="8"/>
      <c r="F10" s="8"/>
      <c r="G10" s="8"/>
      <c r="H10" s="8"/>
      <c r="I10" s="8"/>
      <c r="J10" s="8"/>
      <c r="K10" s="8"/>
      <c r="L10" s="8"/>
      <c r="M10" s="8"/>
      <c r="N10" s="8"/>
    </row>
    <row r="11" spans="1:14" ht="39" customHeight="1" thickBot="1" x14ac:dyDescent="0.35">
      <c r="A11" s="8"/>
      <c r="B11" s="8"/>
      <c r="C11" s="8"/>
      <c r="D11" s="8"/>
      <c r="E11" s="8"/>
      <c r="F11" s="8"/>
      <c r="G11" s="8"/>
      <c r="H11" s="8" t="s">
        <v>277</v>
      </c>
      <c r="I11" s="8" t="s">
        <v>278</v>
      </c>
      <c r="J11" s="8" t="s">
        <v>7</v>
      </c>
      <c r="K11" s="8" t="s">
        <v>279</v>
      </c>
      <c r="L11" s="8" t="s">
        <v>280</v>
      </c>
      <c r="M11" s="8" t="s">
        <v>7</v>
      </c>
      <c r="N11" s="8" t="s">
        <v>226</v>
      </c>
    </row>
    <row r="12" spans="1:14" ht="47.25" customHeight="1" thickBot="1" x14ac:dyDescent="0.35">
      <c r="A12" s="84" t="s">
        <v>306</v>
      </c>
      <c r="B12" s="84" t="s">
        <v>54</v>
      </c>
      <c r="C12" s="353" t="s">
        <v>261</v>
      </c>
      <c r="D12" s="9" t="s">
        <v>259</v>
      </c>
      <c r="E12" s="38" t="s">
        <v>55</v>
      </c>
      <c r="F12" s="44"/>
      <c r="G12" s="137" t="s">
        <v>60</v>
      </c>
      <c r="H12" s="92"/>
      <c r="I12" s="12">
        <v>0</v>
      </c>
      <c r="J12" s="182">
        <f>H12*I12</f>
        <v>0</v>
      </c>
      <c r="K12" s="189"/>
      <c r="L12" s="12">
        <v>0</v>
      </c>
      <c r="M12" s="180">
        <f>K12*L12</f>
        <v>0</v>
      </c>
      <c r="N12" s="13">
        <f>J12+M12</f>
        <v>0</v>
      </c>
    </row>
    <row r="13" spans="1:14" ht="47.25" customHeight="1" thickBot="1" x14ac:dyDescent="0.35">
      <c r="A13" s="84" t="s">
        <v>307</v>
      </c>
      <c r="B13" s="84" t="s">
        <v>54</v>
      </c>
      <c r="C13" s="354"/>
      <c r="D13" s="84" t="s">
        <v>65</v>
      </c>
      <c r="E13" s="38" t="s">
        <v>55</v>
      </c>
      <c r="F13" s="44"/>
      <c r="G13" s="137" t="s">
        <v>142</v>
      </c>
      <c r="H13" s="92"/>
      <c r="I13" s="12">
        <v>0</v>
      </c>
      <c r="J13" s="182">
        <f t="shared" ref="J13:J26" si="0">H13*I13</f>
        <v>0</v>
      </c>
      <c r="K13" s="189"/>
      <c r="L13" s="12">
        <v>0</v>
      </c>
      <c r="M13" s="180">
        <f t="shared" ref="M13:M26" si="1">K13*L13</f>
        <v>0</v>
      </c>
      <c r="N13" s="13">
        <f t="shared" ref="N13:N26" si="2">J13+M13</f>
        <v>0</v>
      </c>
    </row>
    <row r="14" spans="1:14" ht="40.5" customHeight="1" thickBot="1" x14ac:dyDescent="0.35">
      <c r="A14" s="84" t="s">
        <v>308</v>
      </c>
      <c r="B14" s="353" t="s">
        <v>54</v>
      </c>
      <c r="C14" s="353" t="s">
        <v>66</v>
      </c>
      <c r="D14" s="84" t="s">
        <v>67</v>
      </c>
      <c r="E14" s="38" t="s">
        <v>55</v>
      </c>
      <c r="F14" s="44"/>
      <c r="G14" s="137" t="s">
        <v>60</v>
      </c>
      <c r="H14" s="92"/>
      <c r="I14" s="12">
        <v>0</v>
      </c>
      <c r="J14" s="182">
        <f t="shared" si="0"/>
        <v>0</v>
      </c>
      <c r="K14" s="189"/>
      <c r="L14" s="12">
        <v>0</v>
      </c>
      <c r="M14" s="180">
        <f t="shared" si="1"/>
        <v>0</v>
      </c>
      <c r="N14" s="13">
        <f t="shared" si="2"/>
        <v>0</v>
      </c>
    </row>
    <row r="15" spans="1:14" ht="40.5" customHeight="1" thickBot="1" x14ac:dyDescent="0.35">
      <c r="A15" s="84" t="s">
        <v>309</v>
      </c>
      <c r="B15" s="354"/>
      <c r="C15" s="354"/>
      <c r="D15" s="9" t="s">
        <v>68</v>
      </c>
      <c r="E15" s="38" t="s">
        <v>55</v>
      </c>
      <c r="F15" s="44"/>
      <c r="G15" s="137" t="s">
        <v>142</v>
      </c>
      <c r="H15" s="92"/>
      <c r="I15" s="12">
        <v>0</v>
      </c>
      <c r="J15" s="182">
        <f t="shared" si="0"/>
        <v>0</v>
      </c>
      <c r="K15" s="189"/>
      <c r="L15" s="12">
        <v>0</v>
      </c>
      <c r="M15" s="180">
        <f t="shared" si="1"/>
        <v>0</v>
      </c>
      <c r="N15" s="13">
        <f t="shared" si="2"/>
        <v>0</v>
      </c>
    </row>
    <row r="16" spans="1:14" ht="40.5" customHeight="1" thickBot="1" x14ac:dyDescent="0.35">
      <c r="A16" s="84" t="s">
        <v>310</v>
      </c>
      <c r="B16" s="351" t="s">
        <v>54</v>
      </c>
      <c r="C16" s="353" t="s">
        <v>69</v>
      </c>
      <c r="D16" s="9" t="s">
        <v>67</v>
      </c>
      <c r="E16" s="38" t="s">
        <v>55</v>
      </c>
      <c r="F16" s="44"/>
      <c r="G16" s="137" t="s">
        <v>142</v>
      </c>
      <c r="H16" s="92"/>
      <c r="I16" s="12">
        <v>0</v>
      </c>
      <c r="J16" s="182">
        <f t="shared" si="0"/>
        <v>0</v>
      </c>
      <c r="K16" s="189"/>
      <c r="L16" s="12">
        <v>0</v>
      </c>
      <c r="M16" s="180">
        <f t="shared" si="1"/>
        <v>0</v>
      </c>
      <c r="N16" s="13">
        <f t="shared" si="2"/>
        <v>0</v>
      </c>
    </row>
    <row r="17" spans="1:14" ht="40.5" customHeight="1" thickBot="1" x14ac:dyDescent="0.35">
      <c r="A17" s="84" t="s">
        <v>311</v>
      </c>
      <c r="B17" s="352"/>
      <c r="C17" s="354"/>
      <c r="D17" s="9" t="s">
        <v>68</v>
      </c>
      <c r="E17" s="38" t="s">
        <v>55</v>
      </c>
      <c r="F17" s="44"/>
      <c r="G17" s="137" t="s">
        <v>142</v>
      </c>
      <c r="H17" s="92"/>
      <c r="I17" s="12">
        <v>0</v>
      </c>
      <c r="J17" s="182">
        <f t="shared" si="0"/>
        <v>0</v>
      </c>
      <c r="K17" s="189"/>
      <c r="L17" s="12">
        <v>0</v>
      </c>
      <c r="M17" s="180">
        <f t="shared" si="1"/>
        <v>0</v>
      </c>
      <c r="N17" s="13">
        <f t="shared" si="2"/>
        <v>0</v>
      </c>
    </row>
    <row r="18" spans="1:14" ht="38.25" customHeight="1" thickBot="1" x14ac:dyDescent="0.35">
      <c r="A18" s="84" t="s">
        <v>312</v>
      </c>
      <c r="B18" s="353" t="s">
        <v>54</v>
      </c>
      <c r="C18" s="359" t="s">
        <v>253</v>
      </c>
      <c r="D18" s="9" t="s">
        <v>70</v>
      </c>
      <c r="E18" s="38" t="s">
        <v>55</v>
      </c>
      <c r="F18" s="44"/>
      <c r="G18" s="137" t="s">
        <v>60</v>
      </c>
      <c r="H18" s="92"/>
      <c r="I18" s="12">
        <v>0</v>
      </c>
      <c r="J18" s="182">
        <f t="shared" si="0"/>
        <v>0</v>
      </c>
      <c r="K18" s="189"/>
      <c r="L18" s="12">
        <v>0</v>
      </c>
      <c r="M18" s="180">
        <f t="shared" si="1"/>
        <v>0</v>
      </c>
      <c r="N18" s="13">
        <f t="shared" si="2"/>
        <v>0</v>
      </c>
    </row>
    <row r="19" spans="1:14" ht="38.25" customHeight="1" thickBot="1" x14ac:dyDescent="0.35">
      <c r="A19" s="84" t="s">
        <v>313</v>
      </c>
      <c r="B19" s="358"/>
      <c r="C19" s="359"/>
      <c r="D19" s="9" t="s">
        <v>71</v>
      </c>
      <c r="E19" s="38" t="s">
        <v>55</v>
      </c>
      <c r="F19" s="44"/>
      <c r="G19" s="137" t="s">
        <v>60</v>
      </c>
      <c r="H19" s="92"/>
      <c r="I19" s="12">
        <v>0</v>
      </c>
      <c r="J19" s="182">
        <f t="shared" si="0"/>
        <v>0</v>
      </c>
      <c r="K19" s="189"/>
      <c r="L19" s="12">
        <v>0</v>
      </c>
      <c r="M19" s="180">
        <f t="shared" si="1"/>
        <v>0</v>
      </c>
      <c r="N19" s="13">
        <f t="shared" si="2"/>
        <v>0</v>
      </c>
    </row>
    <row r="20" spans="1:14" ht="38.25" customHeight="1" thickBot="1" x14ac:dyDescent="0.35">
      <c r="A20" s="84" t="s">
        <v>314</v>
      </c>
      <c r="B20" s="354"/>
      <c r="C20" s="359"/>
      <c r="D20" s="9" t="s">
        <v>72</v>
      </c>
      <c r="E20" s="38" t="s">
        <v>55</v>
      </c>
      <c r="F20" s="44"/>
      <c r="G20" s="137" t="s">
        <v>142</v>
      </c>
      <c r="H20" s="92"/>
      <c r="I20" s="12">
        <v>0</v>
      </c>
      <c r="J20" s="182">
        <f t="shared" si="0"/>
        <v>0</v>
      </c>
      <c r="K20" s="189"/>
      <c r="L20" s="12">
        <v>0</v>
      </c>
      <c r="M20" s="180">
        <f t="shared" si="1"/>
        <v>0</v>
      </c>
      <c r="N20" s="13">
        <f t="shared" si="2"/>
        <v>0</v>
      </c>
    </row>
    <row r="21" spans="1:14" ht="36.75" customHeight="1" thickBot="1" x14ac:dyDescent="0.35">
      <c r="A21" s="84" t="s">
        <v>315</v>
      </c>
      <c r="B21" s="353" t="s">
        <v>54</v>
      </c>
      <c r="C21" s="359" t="s">
        <v>254</v>
      </c>
      <c r="D21" s="9" t="s">
        <v>70</v>
      </c>
      <c r="E21" s="38" t="s">
        <v>55</v>
      </c>
      <c r="F21" s="44"/>
      <c r="G21" s="137" t="s">
        <v>60</v>
      </c>
      <c r="H21" s="92"/>
      <c r="I21" s="12">
        <v>0</v>
      </c>
      <c r="J21" s="182">
        <f t="shared" si="0"/>
        <v>0</v>
      </c>
      <c r="K21" s="189"/>
      <c r="L21" s="12">
        <v>0</v>
      </c>
      <c r="M21" s="180">
        <f t="shared" si="1"/>
        <v>0</v>
      </c>
      <c r="N21" s="13">
        <f t="shared" si="2"/>
        <v>0</v>
      </c>
    </row>
    <row r="22" spans="1:14" ht="36.75" customHeight="1" thickBot="1" x14ac:dyDescent="0.35">
      <c r="A22" s="84" t="s">
        <v>316</v>
      </c>
      <c r="B22" s="358"/>
      <c r="C22" s="359"/>
      <c r="D22" s="9" t="s">
        <v>71</v>
      </c>
      <c r="E22" s="38" t="s">
        <v>55</v>
      </c>
      <c r="F22" s="44"/>
      <c r="G22" s="137" t="s">
        <v>142</v>
      </c>
      <c r="H22" s="92"/>
      <c r="I22" s="12">
        <v>0</v>
      </c>
      <c r="J22" s="182">
        <f t="shared" si="0"/>
        <v>0</v>
      </c>
      <c r="K22" s="189"/>
      <c r="L22" s="12">
        <v>0</v>
      </c>
      <c r="M22" s="180">
        <f t="shared" si="1"/>
        <v>0</v>
      </c>
      <c r="N22" s="13">
        <f t="shared" si="2"/>
        <v>0</v>
      </c>
    </row>
    <row r="23" spans="1:14" ht="38.25" customHeight="1" thickBot="1" x14ac:dyDescent="0.35">
      <c r="A23" s="84" t="s">
        <v>317</v>
      </c>
      <c r="B23" s="354"/>
      <c r="C23" s="359"/>
      <c r="D23" s="9" t="s">
        <v>72</v>
      </c>
      <c r="E23" s="38" t="s">
        <v>55</v>
      </c>
      <c r="F23" s="44"/>
      <c r="G23" s="137" t="s">
        <v>142</v>
      </c>
      <c r="H23" s="92"/>
      <c r="I23" s="12">
        <v>0</v>
      </c>
      <c r="J23" s="182">
        <f t="shared" si="0"/>
        <v>0</v>
      </c>
      <c r="K23" s="189"/>
      <c r="L23" s="12">
        <v>0</v>
      </c>
      <c r="M23" s="180">
        <f t="shared" si="1"/>
        <v>0</v>
      </c>
      <c r="N23" s="13">
        <f t="shared" si="2"/>
        <v>0</v>
      </c>
    </row>
    <row r="24" spans="1:14" ht="27.75" customHeight="1" thickBot="1" x14ac:dyDescent="0.35">
      <c r="A24" s="84" t="s">
        <v>318</v>
      </c>
      <c r="B24" s="353" t="s">
        <v>54</v>
      </c>
      <c r="C24" s="353" t="s">
        <v>255</v>
      </c>
      <c r="D24" s="9" t="s">
        <v>73</v>
      </c>
      <c r="E24" s="38" t="s">
        <v>55</v>
      </c>
      <c r="F24" s="44"/>
      <c r="G24" s="137" t="s">
        <v>142</v>
      </c>
      <c r="H24" s="92"/>
      <c r="I24" s="12">
        <v>0</v>
      </c>
      <c r="J24" s="182">
        <f t="shared" si="0"/>
        <v>0</v>
      </c>
      <c r="K24" s="189"/>
      <c r="L24" s="12">
        <v>0</v>
      </c>
      <c r="M24" s="180">
        <f t="shared" si="1"/>
        <v>0</v>
      </c>
      <c r="N24" s="13">
        <f t="shared" si="2"/>
        <v>0</v>
      </c>
    </row>
    <row r="25" spans="1:14" ht="27.75" customHeight="1" thickBot="1" x14ac:dyDescent="0.35">
      <c r="A25" s="84" t="s">
        <v>319</v>
      </c>
      <c r="B25" s="360"/>
      <c r="C25" s="360"/>
      <c r="D25" s="9" t="s">
        <v>74</v>
      </c>
      <c r="E25" s="38" t="s">
        <v>55</v>
      </c>
      <c r="F25" s="44"/>
      <c r="G25" s="137" t="s">
        <v>60</v>
      </c>
      <c r="H25" s="92"/>
      <c r="I25" s="12">
        <v>0</v>
      </c>
      <c r="J25" s="182">
        <f t="shared" si="0"/>
        <v>0</v>
      </c>
      <c r="K25" s="189"/>
      <c r="L25" s="12">
        <v>0</v>
      </c>
      <c r="M25" s="180">
        <f t="shared" si="1"/>
        <v>0</v>
      </c>
      <c r="N25" s="13">
        <f t="shared" si="2"/>
        <v>0</v>
      </c>
    </row>
    <row r="26" spans="1:14" ht="31.5" customHeight="1" thickBot="1" x14ac:dyDescent="0.35">
      <c r="A26" s="84" t="s">
        <v>320</v>
      </c>
      <c r="B26" s="354"/>
      <c r="C26" s="354"/>
      <c r="D26" s="9" t="s">
        <v>75</v>
      </c>
      <c r="E26" s="38" t="s">
        <v>55</v>
      </c>
      <c r="F26" s="44"/>
      <c r="G26" s="137" t="s">
        <v>142</v>
      </c>
      <c r="H26" s="92"/>
      <c r="I26" s="12">
        <v>0</v>
      </c>
      <c r="J26" s="182">
        <f t="shared" si="0"/>
        <v>0</v>
      </c>
      <c r="K26" s="189"/>
      <c r="L26" s="12">
        <v>0</v>
      </c>
      <c r="M26" s="180">
        <f t="shared" si="1"/>
        <v>0</v>
      </c>
      <c r="N26" s="13">
        <f t="shared" si="2"/>
        <v>0</v>
      </c>
    </row>
    <row r="27" spans="1:14" ht="21.6" thickBot="1" x14ac:dyDescent="0.45">
      <c r="A27" s="331" t="str">
        <f>+A4&amp;" (CDN$)"</f>
        <v>B2 - AMI Network &amp; Radio (CDN$)</v>
      </c>
      <c r="B27" s="332"/>
      <c r="C27" s="332"/>
      <c r="D27" s="332"/>
      <c r="E27" s="332"/>
      <c r="F27" s="176"/>
      <c r="G27" s="5"/>
      <c r="H27" s="5"/>
      <c r="I27" s="5"/>
      <c r="J27" s="5"/>
      <c r="K27" s="5"/>
      <c r="L27" s="5"/>
      <c r="M27" s="5"/>
      <c r="N27" s="5">
        <f>+SUM(N7:N26)</f>
        <v>0</v>
      </c>
    </row>
    <row r="28" spans="1:14" ht="24" thickBot="1" x14ac:dyDescent="0.5">
      <c r="D28" s="41"/>
      <c r="K28" s="41" t="str">
        <f>+"Transfer the total for "&amp; $A$4&amp;" to B Price Form Summary"</f>
        <v>Transfer the total for B2 - AMI Network &amp; Radio to B Price Form Summary</v>
      </c>
    </row>
    <row r="29" spans="1:14" ht="21.75" customHeight="1" thickBot="1" x14ac:dyDescent="0.35">
      <c r="A29" s="316" t="s">
        <v>76</v>
      </c>
      <c r="B29" s="317"/>
      <c r="C29" s="317"/>
      <c r="D29" s="317"/>
      <c r="E29" s="327"/>
      <c r="F29" s="85"/>
      <c r="G29" s="64"/>
      <c r="H29" s="64"/>
      <c r="I29" s="64"/>
      <c r="J29" s="64"/>
      <c r="K29" s="64"/>
    </row>
    <row r="30" spans="1:14" ht="45" customHeight="1" thickBot="1" x14ac:dyDescent="0.35">
      <c r="A30" s="99" t="s">
        <v>321</v>
      </c>
      <c r="B30" s="318"/>
      <c r="C30" s="319"/>
      <c r="D30" s="319"/>
      <c r="E30" s="320"/>
      <c r="H30" s="35"/>
      <c r="I30" s="35"/>
    </row>
    <row r="31" spans="1:14" ht="45" customHeight="1" thickBot="1" x14ac:dyDescent="0.35">
      <c r="A31" s="99" t="s">
        <v>322</v>
      </c>
      <c r="B31" s="335"/>
      <c r="C31" s="336"/>
      <c r="D31" s="336"/>
      <c r="E31" s="337"/>
      <c r="H31" s="35"/>
      <c r="I31" s="35"/>
    </row>
    <row r="32" spans="1:14" ht="45" customHeight="1" thickBot="1" x14ac:dyDescent="0.35">
      <c r="A32" s="99" t="s">
        <v>323</v>
      </c>
      <c r="B32" s="335"/>
      <c r="C32" s="336"/>
      <c r="D32" s="336"/>
      <c r="E32" s="337"/>
      <c r="H32" s="35"/>
      <c r="I32" s="35"/>
    </row>
    <row r="33" spans="1:9" ht="45" customHeight="1" thickBot="1" x14ac:dyDescent="0.35">
      <c r="A33" s="99" t="s">
        <v>324</v>
      </c>
      <c r="B33" s="335"/>
      <c r="C33" s="336"/>
      <c r="D33" s="336"/>
      <c r="E33" s="337"/>
      <c r="H33" s="35"/>
      <c r="I33" s="35"/>
    </row>
    <row r="34" spans="1:9" ht="45" customHeight="1" thickBot="1" x14ac:dyDescent="0.35">
      <c r="A34" s="99" t="s">
        <v>325</v>
      </c>
      <c r="B34" s="335"/>
      <c r="C34" s="336"/>
      <c r="D34" s="336"/>
      <c r="E34" s="337"/>
      <c r="H34" s="35"/>
      <c r="I34" s="35"/>
    </row>
    <row r="35" spans="1:9" ht="45" customHeight="1" thickBot="1" x14ac:dyDescent="0.35">
      <c r="A35" s="99" t="s">
        <v>326</v>
      </c>
      <c r="B35" s="335"/>
      <c r="C35" s="336"/>
      <c r="D35" s="336"/>
      <c r="E35" s="337"/>
      <c r="H35" s="35"/>
      <c r="I35" s="35"/>
    </row>
    <row r="36" spans="1:9" ht="45" customHeight="1" thickBot="1" x14ac:dyDescent="0.35">
      <c r="A36" s="99" t="s">
        <v>327</v>
      </c>
      <c r="B36" s="335"/>
      <c r="C36" s="336"/>
      <c r="D36" s="336"/>
      <c r="E36" s="337"/>
      <c r="H36" s="35"/>
      <c r="I36" s="35"/>
    </row>
    <row r="37" spans="1:9" ht="45" customHeight="1" thickBot="1" x14ac:dyDescent="0.35">
      <c r="A37" s="99" t="s">
        <v>328</v>
      </c>
      <c r="B37" s="335"/>
      <c r="C37" s="336"/>
      <c r="D37" s="336"/>
      <c r="E37" s="337"/>
      <c r="H37" s="35"/>
      <c r="I37" s="35"/>
    </row>
    <row r="38" spans="1:9" ht="45" customHeight="1" thickBot="1" x14ac:dyDescent="0.35">
      <c r="A38" s="99" t="s">
        <v>329</v>
      </c>
      <c r="B38" s="335"/>
      <c r="C38" s="336"/>
      <c r="D38" s="336"/>
      <c r="E38" s="337"/>
      <c r="H38" s="35"/>
      <c r="I38" s="35"/>
    </row>
    <row r="39" spans="1:9" ht="45" customHeight="1" thickBot="1" x14ac:dyDescent="0.35">
      <c r="A39" s="99" t="s">
        <v>330</v>
      </c>
      <c r="B39" s="335"/>
      <c r="C39" s="336"/>
      <c r="D39" s="336"/>
      <c r="E39" s="337"/>
      <c r="H39" s="35"/>
      <c r="I39" s="35"/>
    </row>
    <row r="61" ht="14.55" customHeight="1" x14ac:dyDescent="0.3"/>
  </sheetData>
  <sheetProtection algorithmName="SHA-512" hashValue="PzPcpgeNcr7++0eO9Z8J911Ofk3NM9J11ixXV6L+kPCrqYexMu7lQV70oRDa+FNWwc/7CBqTWKpsg2U/og9i6w==" saltValue="iOQuAD1jFNmXM/dZALAxXw==" spinCount="100000" sheet="1" formatCells="0"/>
  <mergeCells count="31">
    <mergeCell ref="A27:E27"/>
    <mergeCell ref="B39:E39"/>
    <mergeCell ref="A29:E29"/>
    <mergeCell ref="B30:E30"/>
    <mergeCell ref="B31:E31"/>
    <mergeCell ref="B32:E32"/>
    <mergeCell ref="B33:E33"/>
    <mergeCell ref="B34:E34"/>
    <mergeCell ref="B35:E35"/>
    <mergeCell ref="B36:E36"/>
    <mergeCell ref="B37:E37"/>
    <mergeCell ref="B38:E38"/>
    <mergeCell ref="B18:B20"/>
    <mergeCell ref="C18:C20"/>
    <mergeCell ref="B21:B23"/>
    <mergeCell ref="C21:C23"/>
    <mergeCell ref="B24:B26"/>
    <mergeCell ref="C24:C26"/>
    <mergeCell ref="B16:B17"/>
    <mergeCell ref="C16:C17"/>
    <mergeCell ref="A4:K4"/>
    <mergeCell ref="A5:K5"/>
    <mergeCell ref="C12:C13"/>
    <mergeCell ref="B14:B15"/>
    <mergeCell ref="C14:C15"/>
    <mergeCell ref="A1:D1"/>
    <mergeCell ref="E1:K1"/>
    <mergeCell ref="A2:D2"/>
    <mergeCell ref="E2:K2"/>
    <mergeCell ref="A3:D3"/>
    <mergeCell ref="E3:K3"/>
  </mergeCells>
  <phoneticPr fontId="22" type="noConversion"/>
  <dataValidations count="3">
    <dataValidation type="decimal" allowBlank="1" showInputMessage="1" showErrorMessage="1" sqref="G7" xr:uid="{00000000-0002-0000-0300-000000000000}">
      <formula1>0</formula1>
      <formula2>1</formula2>
    </dataValidation>
    <dataValidation type="whole" allowBlank="1" showInputMessage="1" showErrorMessage="1" promptTitle="Whole Numbers" prompt="Whole Numbers only" sqref="H12:I26" xr:uid="{00000000-0002-0000-0300-000002000000}">
      <formula1>0</formula1>
      <formula2>100000000</formula2>
    </dataValidation>
    <dataValidation allowBlank="1" showInputMessage="1" showErrorMessage="1" promptTitle="Please Round" prompt="Please round all pricing to the penny (.00) or hundreth of a dollar." sqref="J12:J26 L12:N26 J7:J10 L7:N10" xr:uid="{00000000-0002-0000-0300-000001000000}"/>
  </dataValidations>
  <pageMargins left="0.23622047244094491" right="0.23622047244094491" top="0.74803149606299213" bottom="0.74803149606299213" header="0.31496062992125984" footer="0.31496062992125984"/>
  <pageSetup scale="58" fitToHeight="0" orientation="landscape" r:id="rId1"/>
  <headerFooter>
    <oddHeader>&amp;CCity of Winnipeg
497-2025-Form_B-Prices Water Meter Renewal and AMS Project</oddHeader>
    <oddFooter>&amp;LCity of Winnipeg, MB&amp;C&amp;A | Page &amp;P of &amp;N&amp;RDiameter Services copyright 2025</oddFooter>
  </headerFooter>
  <rowBreaks count="1" manualBreakCount="1">
    <brk id="23" max="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3000000}">
          <x14:formula1>
            <xm:f>Lookups!$A$2:$A$3</xm:f>
          </x14:formula1>
          <xm:sqref>G12:G26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08D40-6D5D-47DA-B88E-3B4FD50F86CF}">
  <dimension ref="A1:Q13"/>
  <sheetViews>
    <sheetView workbookViewId="0">
      <selection activeCell="J29" sqref="J29"/>
    </sheetView>
  </sheetViews>
  <sheetFormatPr defaultRowHeight="14.4" x14ac:dyDescent="0.3"/>
  <cols>
    <col min="4" max="4" width="36.21875" customWidth="1"/>
    <col min="12" max="12" width="9.21875" customWidth="1"/>
    <col min="13" max="17" width="9.21875" hidden="1" customWidth="1"/>
    <col min="18" max="18" width="9.21875" customWidth="1"/>
  </cols>
  <sheetData>
    <row r="1" spans="1:17" ht="21.6" thickBot="1" x14ac:dyDescent="0.35">
      <c r="A1" s="279" t="s">
        <v>1</v>
      </c>
      <c r="B1" s="280"/>
      <c r="C1" s="280"/>
      <c r="D1" s="281"/>
      <c r="E1" s="270" t="str">
        <f>'B Price Form Summary'!E1</f>
        <v>City of Winnipeg</v>
      </c>
      <c r="F1" s="271"/>
      <c r="G1" s="271"/>
      <c r="H1" s="271"/>
      <c r="I1" s="271"/>
      <c r="J1" s="271"/>
      <c r="K1" s="271"/>
      <c r="M1" s="196">
        <v>6.2585219525497685E-2</v>
      </c>
      <c r="N1" s="196">
        <v>0.22774065994000547</v>
      </c>
      <c r="O1" s="196">
        <v>0.30777883828742836</v>
      </c>
      <c r="P1" s="196">
        <v>0.26905508590128169</v>
      </c>
      <c r="Q1" s="196">
        <v>0.13284019634578673</v>
      </c>
    </row>
    <row r="2" spans="1:17" ht="21.6" thickBot="1" x14ac:dyDescent="0.35">
      <c r="A2" s="279" t="s">
        <v>2</v>
      </c>
      <c r="B2" s="280"/>
      <c r="C2" s="280"/>
      <c r="D2" s="281"/>
      <c r="E2" s="270" t="str">
        <f>'B Price Form Summary'!E2</f>
        <v>Name of Proponent</v>
      </c>
      <c r="F2" s="271"/>
      <c r="G2" s="271"/>
      <c r="H2" s="271"/>
      <c r="I2" s="271"/>
      <c r="J2" s="271"/>
      <c r="K2" s="271"/>
      <c r="M2">
        <v>223656</v>
      </c>
    </row>
    <row r="3" spans="1:17" ht="65.55" customHeight="1" thickBot="1" x14ac:dyDescent="0.35">
      <c r="A3" s="279" t="s">
        <v>3</v>
      </c>
      <c r="B3" s="280"/>
      <c r="C3" s="280"/>
      <c r="D3" s="281"/>
      <c r="E3" s="270" t="str">
        <f>'B Price Form Summary'!E3</f>
        <v>497-2025_RFP - Supply of Advanced Meter Infrastructure and Water Meter Solution</v>
      </c>
      <c r="F3" s="271"/>
      <c r="G3" s="271"/>
      <c r="H3" s="271"/>
      <c r="I3" s="271"/>
      <c r="J3" s="271"/>
      <c r="K3" s="271"/>
    </row>
    <row r="4" spans="1:17" ht="21.6" thickBot="1" x14ac:dyDescent="0.35">
      <c r="A4" s="316" t="s">
        <v>302</v>
      </c>
      <c r="B4" s="317"/>
      <c r="C4" s="317"/>
      <c r="D4" s="317"/>
      <c r="E4" s="317"/>
      <c r="F4" s="317"/>
      <c r="G4" s="317"/>
      <c r="H4" s="317"/>
      <c r="I4" s="317"/>
      <c r="J4" s="317"/>
      <c r="K4" s="317"/>
    </row>
    <row r="5" spans="1:17" ht="15" thickBot="1" x14ac:dyDescent="0.35">
      <c r="A5" s="344"/>
      <c r="B5" s="344"/>
      <c r="C5" s="345"/>
      <c r="D5" s="361" t="s">
        <v>48</v>
      </c>
      <c r="E5" s="362"/>
      <c r="F5" s="54">
        <v>2026</v>
      </c>
      <c r="G5" s="54">
        <v>2027</v>
      </c>
      <c r="H5" s="54">
        <v>2028</v>
      </c>
      <c r="I5" s="54">
        <v>2029</v>
      </c>
      <c r="J5" s="54">
        <v>2030</v>
      </c>
      <c r="K5" s="7" t="s">
        <v>212</v>
      </c>
    </row>
    <row r="6" spans="1:17" ht="15" thickBot="1" x14ac:dyDescent="0.35">
      <c r="A6" s="346"/>
      <c r="B6" s="346"/>
      <c r="C6" s="347"/>
      <c r="D6" s="363" t="s">
        <v>248</v>
      </c>
      <c r="E6" s="364"/>
      <c r="F6" s="158">
        <f>ROUND(M1*'B2 AMI Network &amp; Radio'!$H$7,0)</f>
        <v>13998</v>
      </c>
      <c r="G6" s="158">
        <f>ROUND(N1*'B2 AMI Network &amp; Radio'!$H$7,0)</f>
        <v>50936</v>
      </c>
      <c r="H6" s="158">
        <f>ROUND(O1*'B2 AMI Network &amp; Radio'!$H$7,0)</f>
        <v>68837</v>
      </c>
      <c r="I6" s="158">
        <f>ROUND(P1*'B2 AMI Network &amp; Radio'!$H$7,0)</f>
        <v>60176</v>
      </c>
      <c r="J6" s="158">
        <f>ROUND(Q1*'B2 AMI Network &amp; Radio'!$H$7,0)</f>
        <v>29711</v>
      </c>
      <c r="K6" s="159">
        <f>SUM(F6:J6)</f>
        <v>223658</v>
      </c>
    </row>
    <row r="7" spans="1:17" ht="15" thickBot="1" x14ac:dyDescent="0.35">
      <c r="A7" s="346"/>
      <c r="B7" s="346"/>
      <c r="C7" s="347"/>
      <c r="D7" s="363" t="s">
        <v>249</v>
      </c>
      <c r="E7" s="364"/>
      <c r="F7" s="158">
        <f>ROUND(M1*'B2 AMI Network &amp; Radio'!$H$8,0)</f>
        <v>0</v>
      </c>
      <c r="G7" s="158">
        <f>ROUND(N1*'B2 AMI Network &amp; Radio'!$H$8,0)</f>
        <v>0</v>
      </c>
      <c r="H7" s="158">
        <f>ROUND(O1*'B2 AMI Network &amp; Radio'!$H$8,0)</f>
        <v>0</v>
      </c>
      <c r="I7" s="158">
        <f>ROUND(P1*'B2 AMI Network &amp; Radio'!$H$8,0)</f>
        <v>0</v>
      </c>
      <c r="J7" s="158">
        <f>ROUND(Q1*'B2 AMI Network &amp; Radio'!$H$8,0)</f>
        <v>0</v>
      </c>
      <c r="K7" s="159">
        <f t="shared" ref="K7:K8" si="0">SUM(F7:J7)</f>
        <v>0</v>
      </c>
    </row>
    <row r="8" spans="1:17" ht="15" thickBot="1" x14ac:dyDescent="0.35">
      <c r="A8" s="346"/>
      <c r="B8" s="346"/>
      <c r="C8" s="347"/>
      <c r="D8" s="209" t="s">
        <v>512</v>
      </c>
      <c r="E8" s="210"/>
      <c r="F8" s="158">
        <v>5</v>
      </c>
      <c r="G8" s="158">
        <v>8</v>
      </c>
      <c r="H8" s="158">
        <v>8</v>
      </c>
      <c r="I8" s="158">
        <v>8</v>
      </c>
      <c r="J8" s="158">
        <v>4</v>
      </c>
      <c r="K8" s="159">
        <f t="shared" si="0"/>
        <v>33</v>
      </c>
    </row>
    <row r="9" spans="1:17" ht="15" thickBot="1" x14ac:dyDescent="0.35">
      <c r="A9" s="346"/>
      <c r="B9" s="346"/>
      <c r="C9" s="347"/>
      <c r="D9" s="343" t="s">
        <v>238</v>
      </c>
      <c r="E9" s="343"/>
      <c r="F9" s="162">
        <f t="shared" ref="F9:K9" si="1">+SUM(F6:F7)</f>
        <v>13998</v>
      </c>
      <c r="G9" s="162">
        <f t="shared" si="1"/>
        <v>50936</v>
      </c>
      <c r="H9" s="162">
        <f t="shared" si="1"/>
        <v>68837</v>
      </c>
      <c r="I9" s="162">
        <f t="shared" si="1"/>
        <v>60176</v>
      </c>
      <c r="J9" s="162">
        <f t="shared" si="1"/>
        <v>29711</v>
      </c>
      <c r="K9" s="159">
        <f t="shared" si="1"/>
        <v>223658</v>
      </c>
    </row>
    <row r="10" spans="1:17" ht="15" hidden="1" thickBot="1" x14ac:dyDescent="0.35">
      <c r="A10" s="346"/>
      <c r="B10" s="346"/>
      <c r="C10" s="347"/>
      <c r="D10" s="343" t="s">
        <v>289</v>
      </c>
      <c r="E10" s="343"/>
      <c r="F10" s="186">
        <f>M1</f>
        <v>6.2585219525497685E-2</v>
      </c>
      <c r="G10" s="186">
        <f t="shared" ref="G10:J10" si="2">N1</f>
        <v>0.22774065994000547</v>
      </c>
      <c r="H10" s="186">
        <f t="shared" si="2"/>
        <v>0.30777883828742836</v>
      </c>
      <c r="I10" s="186">
        <f t="shared" si="2"/>
        <v>0.26905508590128169</v>
      </c>
      <c r="J10" s="186">
        <f t="shared" si="2"/>
        <v>0.13284019634578673</v>
      </c>
      <c r="K10" s="187">
        <f>SUM(F10:J10)</f>
        <v>0.99999999999999989</v>
      </c>
    </row>
    <row r="13" spans="1:17" x14ac:dyDescent="0.3">
      <c r="L13" s="198"/>
    </row>
  </sheetData>
  <sheetProtection algorithmName="SHA-512" hashValue="WMW7SmztSq5KNZRP/xdRvwIgA5lwG97ouBxbVBhbsoTO5wQpG36oQSw2UwpxBtJ7Af1iCIH5o4fScM14q69O6A==" saltValue="7uE1PZhKLbWqR8LNED33bg==" spinCount="100000" sheet="1" objects="1" scenarios="1"/>
  <mergeCells count="13">
    <mergeCell ref="A1:D1"/>
    <mergeCell ref="E1:K1"/>
    <mergeCell ref="A2:D2"/>
    <mergeCell ref="E2:K2"/>
    <mergeCell ref="A3:D3"/>
    <mergeCell ref="E3:K3"/>
    <mergeCell ref="D10:E10"/>
    <mergeCell ref="A5:C10"/>
    <mergeCell ref="A4:K4"/>
    <mergeCell ref="D5:E5"/>
    <mergeCell ref="D6:E6"/>
    <mergeCell ref="D7:E7"/>
    <mergeCell ref="D9:E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7" tint="0.79998168889431442"/>
    <pageSetUpPr fitToPage="1"/>
  </sheetPr>
  <dimension ref="A1:L51"/>
  <sheetViews>
    <sheetView zoomScale="90" zoomScaleNormal="90" workbookViewId="0">
      <selection activeCell="I8" sqref="I8"/>
    </sheetView>
  </sheetViews>
  <sheetFormatPr defaultColWidth="9.21875" defaultRowHeight="14.4" x14ac:dyDescent="0.3"/>
  <cols>
    <col min="1" max="1" width="9.21875" style="1"/>
    <col min="2" max="2" width="13.21875" style="1" customWidth="1"/>
    <col min="3" max="3" width="59.21875" style="1" customWidth="1"/>
    <col min="4" max="4" width="57.21875" style="1" customWidth="1"/>
    <col min="5" max="5" width="13" style="1" customWidth="1"/>
    <col min="6" max="6" width="14.77734375" style="1" hidden="1" customWidth="1"/>
    <col min="7" max="7" width="14.5546875" style="1" customWidth="1"/>
    <col min="8" max="9" width="18" style="1" customWidth="1"/>
    <col min="10" max="10" width="25.21875" style="1" customWidth="1"/>
    <col min="11" max="16384" width="9.21875" style="1"/>
  </cols>
  <sheetData>
    <row r="1" spans="1:12" ht="21.75" customHeight="1" thickBot="1" x14ac:dyDescent="0.35">
      <c r="A1" s="279" t="s">
        <v>1</v>
      </c>
      <c r="B1" s="280"/>
      <c r="C1" s="280"/>
      <c r="D1" s="281"/>
      <c r="E1" s="270" t="str">
        <f>+'B Price Form Summary'!E1</f>
        <v>City of Winnipeg</v>
      </c>
      <c r="F1" s="271"/>
      <c r="G1" s="271"/>
      <c r="H1" s="271"/>
      <c r="I1" s="271"/>
      <c r="J1" s="272"/>
      <c r="K1" s="105"/>
      <c r="L1" s="105"/>
    </row>
    <row r="2" spans="1:12" ht="21.6" thickBot="1" x14ac:dyDescent="0.35">
      <c r="A2" s="279" t="s">
        <v>2</v>
      </c>
      <c r="B2" s="280"/>
      <c r="C2" s="280"/>
      <c r="D2" s="281"/>
      <c r="E2" s="348" t="str">
        <f>+'B Price Form Summary'!E2</f>
        <v>Name of Proponent</v>
      </c>
      <c r="F2" s="349"/>
      <c r="G2" s="349"/>
      <c r="H2" s="349"/>
      <c r="I2" s="349"/>
      <c r="J2" s="350"/>
    </row>
    <row r="3" spans="1:12" ht="42.75" customHeight="1" thickBot="1" x14ac:dyDescent="0.35">
      <c r="A3" s="279" t="s">
        <v>3</v>
      </c>
      <c r="B3" s="280"/>
      <c r="C3" s="280"/>
      <c r="D3" s="280"/>
      <c r="E3" s="348" t="str">
        <f>+'B Price Form Summary'!E3</f>
        <v>497-2025_RFP - Supply of Advanced Meter Infrastructure and Water Meter Solution</v>
      </c>
      <c r="F3" s="349"/>
      <c r="G3" s="349"/>
      <c r="H3" s="349"/>
      <c r="I3" s="349"/>
      <c r="J3" s="350"/>
    </row>
    <row r="4" spans="1:12" ht="21.6" thickBot="1" x14ac:dyDescent="0.35">
      <c r="A4" s="321" t="str">
        <f>+'B Price Form Summary'!F9</f>
        <v>B3 - Software Implementation &amp; Training</v>
      </c>
      <c r="B4" s="322"/>
      <c r="C4" s="322"/>
      <c r="D4" s="322"/>
      <c r="E4" s="322"/>
      <c r="F4" s="322"/>
      <c r="G4" s="322"/>
      <c r="H4" s="322"/>
      <c r="I4" s="322"/>
      <c r="J4" s="323"/>
    </row>
    <row r="5" spans="1:12" ht="49.8" customHeight="1" thickBot="1" x14ac:dyDescent="0.35">
      <c r="A5" s="324" t="s">
        <v>77</v>
      </c>
      <c r="B5" s="325"/>
      <c r="C5" s="325"/>
      <c r="D5" s="325"/>
      <c r="E5" s="325"/>
      <c r="F5" s="325"/>
      <c r="G5" s="325"/>
      <c r="H5" s="325"/>
      <c r="I5" s="325"/>
      <c r="J5" s="326"/>
    </row>
    <row r="6" spans="1:12" ht="31.8" thickBot="1" x14ac:dyDescent="0.35">
      <c r="A6" s="6" t="s">
        <v>46</v>
      </c>
      <c r="B6" s="6" t="s">
        <v>47</v>
      </c>
      <c r="C6" s="7" t="s">
        <v>48</v>
      </c>
      <c r="D6" s="7" t="s">
        <v>49</v>
      </c>
      <c r="E6" s="7" t="s">
        <v>50</v>
      </c>
      <c r="F6" s="7" t="s">
        <v>62</v>
      </c>
      <c r="G6" s="7" t="s">
        <v>51</v>
      </c>
      <c r="H6" s="8" t="s">
        <v>52</v>
      </c>
      <c r="I6" s="8" t="s">
        <v>53</v>
      </c>
      <c r="J6" s="8" t="s">
        <v>7</v>
      </c>
    </row>
    <row r="7" spans="1:12" ht="27.75" customHeight="1" thickBot="1" x14ac:dyDescent="0.35">
      <c r="A7" s="84" t="s">
        <v>479</v>
      </c>
      <c r="B7" s="353" t="s">
        <v>78</v>
      </c>
      <c r="C7" s="353" t="s">
        <v>81</v>
      </c>
      <c r="D7" s="9" t="s">
        <v>79</v>
      </c>
      <c r="E7" s="27" t="s">
        <v>59</v>
      </c>
      <c r="F7" s="10" t="s">
        <v>58</v>
      </c>
      <c r="G7" s="29"/>
      <c r="H7" s="15">
        <v>1</v>
      </c>
      <c r="I7" s="12">
        <v>0</v>
      </c>
      <c r="J7" s="13">
        <f t="shared" ref="J7:J16" si="0">H7*I7</f>
        <v>0</v>
      </c>
    </row>
    <row r="8" spans="1:12" ht="27.75" customHeight="1" thickBot="1" x14ac:dyDescent="0.35">
      <c r="A8" s="84" t="s">
        <v>480</v>
      </c>
      <c r="B8" s="360"/>
      <c r="C8" s="360"/>
      <c r="D8" s="9" t="s">
        <v>257</v>
      </c>
      <c r="E8" s="27" t="s">
        <v>59</v>
      </c>
      <c r="F8" s="10" t="s">
        <v>58</v>
      </c>
      <c r="G8" s="29"/>
      <c r="H8" s="14">
        <v>0</v>
      </c>
      <c r="I8" s="12">
        <v>0</v>
      </c>
      <c r="J8" s="13">
        <f t="shared" si="0"/>
        <v>0</v>
      </c>
    </row>
    <row r="9" spans="1:12" ht="27.75" customHeight="1" thickBot="1" x14ac:dyDescent="0.35">
      <c r="A9" s="84" t="s">
        <v>481</v>
      </c>
      <c r="B9" s="360"/>
      <c r="C9" s="360"/>
      <c r="D9" s="9" t="s">
        <v>80</v>
      </c>
      <c r="E9" s="27" t="s">
        <v>59</v>
      </c>
      <c r="F9" s="10" t="s">
        <v>58</v>
      </c>
      <c r="G9" s="29"/>
      <c r="H9" s="14"/>
      <c r="I9" s="12">
        <v>0</v>
      </c>
      <c r="J9" s="13">
        <f t="shared" si="0"/>
        <v>0</v>
      </c>
    </row>
    <row r="10" spans="1:12" ht="27.75" customHeight="1" thickBot="1" x14ac:dyDescent="0.35">
      <c r="A10" s="84" t="s">
        <v>482</v>
      </c>
      <c r="B10" s="354"/>
      <c r="C10" s="354"/>
      <c r="D10" s="9" t="s">
        <v>258</v>
      </c>
      <c r="E10" s="27" t="s">
        <v>59</v>
      </c>
      <c r="F10" s="10" t="s">
        <v>58</v>
      </c>
      <c r="G10" s="29"/>
      <c r="H10" s="14">
        <v>0</v>
      </c>
      <c r="I10" s="12">
        <v>0</v>
      </c>
      <c r="J10" s="13">
        <f t="shared" si="0"/>
        <v>0</v>
      </c>
    </row>
    <row r="11" spans="1:12" ht="27.75" customHeight="1" thickBot="1" x14ac:dyDescent="0.35">
      <c r="A11" s="84" t="s">
        <v>483</v>
      </c>
      <c r="B11" s="353" t="s">
        <v>78</v>
      </c>
      <c r="C11" s="366" t="s">
        <v>256</v>
      </c>
      <c r="D11" s="9" t="s">
        <v>79</v>
      </c>
      <c r="E11" s="27" t="s">
        <v>59</v>
      </c>
      <c r="F11" s="10" t="s">
        <v>58</v>
      </c>
      <c r="G11" s="29"/>
      <c r="H11" s="15">
        <v>1</v>
      </c>
      <c r="I11" s="12">
        <v>0</v>
      </c>
      <c r="J11" s="13">
        <f t="shared" si="0"/>
        <v>0</v>
      </c>
    </row>
    <row r="12" spans="1:12" ht="27.75" customHeight="1" thickBot="1" x14ac:dyDescent="0.35">
      <c r="A12" s="84" t="s">
        <v>484</v>
      </c>
      <c r="B12" s="360"/>
      <c r="C12" s="367"/>
      <c r="D12" s="9" t="s">
        <v>257</v>
      </c>
      <c r="E12" s="27" t="s">
        <v>59</v>
      </c>
      <c r="F12" s="10" t="s">
        <v>58</v>
      </c>
      <c r="G12" s="29"/>
      <c r="H12" s="14">
        <v>0</v>
      </c>
      <c r="I12" s="12">
        <v>0</v>
      </c>
      <c r="J12" s="13">
        <f t="shared" si="0"/>
        <v>0</v>
      </c>
    </row>
    <row r="13" spans="1:12" ht="27.75" customHeight="1" thickBot="1" x14ac:dyDescent="0.35">
      <c r="A13" s="84" t="s">
        <v>485</v>
      </c>
      <c r="B13" s="360"/>
      <c r="C13" s="367"/>
      <c r="D13" s="9" t="s">
        <v>80</v>
      </c>
      <c r="E13" s="27" t="s">
        <v>59</v>
      </c>
      <c r="F13" s="10" t="s">
        <v>58</v>
      </c>
      <c r="G13" s="29"/>
      <c r="H13" s="14"/>
      <c r="I13" s="12"/>
      <c r="J13" s="13">
        <f t="shared" si="0"/>
        <v>0</v>
      </c>
    </row>
    <row r="14" spans="1:12" ht="27.75" customHeight="1" thickBot="1" x14ac:dyDescent="0.35">
      <c r="A14" s="84" t="s">
        <v>486</v>
      </c>
      <c r="B14" s="354"/>
      <c r="C14" s="368"/>
      <c r="D14" s="9" t="s">
        <v>258</v>
      </c>
      <c r="E14" s="27" t="s">
        <v>59</v>
      </c>
      <c r="F14" s="10" t="s">
        <v>58</v>
      </c>
      <c r="G14" s="29"/>
      <c r="H14" s="14">
        <v>0</v>
      </c>
      <c r="I14" s="12">
        <v>0</v>
      </c>
      <c r="J14" s="13">
        <f t="shared" si="0"/>
        <v>0</v>
      </c>
    </row>
    <row r="15" spans="1:12" ht="46.5" customHeight="1" thickBot="1" x14ac:dyDescent="0.35">
      <c r="A15" s="84" t="s">
        <v>487</v>
      </c>
      <c r="B15" s="84" t="s">
        <v>78</v>
      </c>
      <c r="C15" s="369" t="s">
        <v>585</v>
      </c>
      <c r="D15" s="9" t="s">
        <v>259</v>
      </c>
      <c r="E15" s="27" t="s">
        <v>59</v>
      </c>
      <c r="F15" s="84"/>
      <c r="G15" s="29"/>
      <c r="H15" s="14"/>
      <c r="I15" s="12"/>
      <c r="J15" s="13">
        <f t="shared" si="0"/>
        <v>0</v>
      </c>
    </row>
    <row r="16" spans="1:12" ht="45" customHeight="1" thickBot="1" x14ac:dyDescent="0.35">
      <c r="A16" s="84" t="s">
        <v>488</v>
      </c>
      <c r="B16" s="84" t="s">
        <v>78</v>
      </c>
      <c r="C16" s="369"/>
      <c r="D16" s="9" t="s">
        <v>65</v>
      </c>
      <c r="E16" s="27" t="s">
        <v>59</v>
      </c>
      <c r="F16" s="84"/>
      <c r="G16" s="29"/>
      <c r="H16" s="14"/>
      <c r="I16" s="12"/>
      <c r="J16" s="13">
        <f t="shared" si="0"/>
        <v>0</v>
      </c>
    </row>
    <row r="17" spans="1:10" ht="45" customHeight="1" thickBot="1" x14ac:dyDescent="0.45">
      <c r="A17" s="331" t="str">
        <f>+"Total - "&amp;A4&amp;" (CDN$)"</f>
        <v>Total - B3 - Software Implementation &amp; Training (CDN$)</v>
      </c>
      <c r="B17" s="332"/>
      <c r="C17" s="332"/>
      <c r="D17" s="332"/>
      <c r="E17" s="332"/>
      <c r="F17" s="332"/>
      <c r="G17" s="332"/>
      <c r="H17" s="332"/>
      <c r="I17" s="365"/>
      <c r="J17" s="5">
        <f>+SUM(J7:J16)</f>
        <v>0</v>
      </c>
    </row>
    <row r="18" spans="1:10" ht="45" customHeight="1" thickBot="1" x14ac:dyDescent="0.5">
      <c r="J18" s="41" t="str">
        <f>+"Transfer the total for "&amp; $A$4&amp;" to B Price Form Summary"</f>
        <v>Transfer the total for B3 - Software Implementation &amp; Training to B Price Form Summary</v>
      </c>
    </row>
    <row r="19" spans="1:10" ht="45" customHeight="1" thickBot="1" x14ac:dyDescent="0.35">
      <c r="A19" s="316" t="s">
        <v>56</v>
      </c>
      <c r="B19" s="317"/>
      <c r="C19" s="317"/>
      <c r="D19" s="317"/>
      <c r="E19" s="327"/>
      <c r="F19" s="85"/>
      <c r="G19" s="64"/>
      <c r="H19" s="64"/>
      <c r="I19" s="64"/>
      <c r="J19" s="64"/>
    </row>
    <row r="20" spans="1:10" ht="45" customHeight="1" thickBot="1" x14ac:dyDescent="0.35">
      <c r="A20" s="31" t="s">
        <v>489</v>
      </c>
      <c r="B20" s="370"/>
      <c r="C20" s="319"/>
      <c r="D20" s="319"/>
      <c r="E20" s="320"/>
      <c r="H20" s="35"/>
    </row>
    <row r="21" spans="1:10" ht="45" customHeight="1" thickBot="1" x14ac:dyDescent="0.35">
      <c r="A21" s="31" t="s">
        <v>490</v>
      </c>
      <c r="B21" s="336"/>
      <c r="C21" s="336"/>
      <c r="D21" s="336"/>
      <c r="E21" s="337"/>
      <c r="H21" s="35"/>
    </row>
    <row r="22" spans="1:10" ht="45" customHeight="1" thickBot="1" x14ac:dyDescent="0.35">
      <c r="A22" s="31" t="s">
        <v>491</v>
      </c>
      <c r="B22" s="336"/>
      <c r="C22" s="336"/>
      <c r="D22" s="336"/>
      <c r="E22" s="337"/>
      <c r="H22" s="35"/>
    </row>
    <row r="23" spans="1:10" ht="45" customHeight="1" thickBot="1" x14ac:dyDescent="0.35">
      <c r="A23" s="31" t="s">
        <v>492</v>
      </c>
      <c r="B23" s="336"/>
      <c r="C23" s="336"/>
      <c r="D23" s="336"/>
      <c r="E23" s="337"/>
      <c r="H23" s="35"/>
    </row>
    <row r="24" spans="1:10" ht="45" customHeight="1" thickBot="1" x14ac:dyDescent="0.35">
      <c r="A24" s="31" t="s">
        <v>493</v>
      </c>
      <c r="B24" s="336"/>
      <c r="C24" s="336"/>
      <c r="D24" s="336"/>
      <c r="E24" s="337"/>
      <c r="H24" s="35"/>
    </row>
    <row r="25" spans="1:10" ht="48.75" customHeight="1" thickBot="1" x14ac:dyDescent="0.35">
      <c r="A25" s="31" t="s">
        <v>494</v>
      </c>
      <c r="B25" s="336"/>
      <c r="C25" s="336"/>
      <c r="D25" s="336"/>
      <c r="E25" s="337"/>
      <c r="H25" s="35"/>
    </row>
    <row r="26" spans="1:10" ht="48.75" customHeight="1" thickBot="1" x14ac:dyDescent="0.35">
      <c r="A26" s="31" t="s">
        <v>495</v>
      </c>
      <c r="B26" s="336"/>
      <c r="C26" s="336"/>
      <c r="D26" s="336"/>
      <c r="E26" s="337"/>
      <c r="H26" s="35"/>
    </row>
    <row r="27" spans="1:10" ht="48.75" customHeight="1" thickBot="1" x14ac:dyDescent="0.35">
      <c r="A27" s="31" t="s">
        <v>496</v>
      </c>
      <c r="B27" s="336"/>
      <c r="C27" s="336"/>
      <c r="D27" s="336"/>
      <c r="E27" s="337"/>
      <c r="H27" s="35"/>
    </row>
    <row r="28" spans="1:10" ht="48.75" customHeight="1" thickBot="1" x14ac:dyDescent="0.35">
      <c r="A28" s="31" t="s">
        <v>497</v>
      </c>
      <c r="B28" s="336"/>
      <c r="C28" s="336"/>
      <c r="D28" s="336"/>
      <c r="E28" s="337"/>
      <c r="H28" s="35"/>
    </row>
    <row r="29" spans="1:10" ht="48.75" customHeight="1" thickBot="1" x14ac:dyDescent="0.35">
      <c r="A29" s="31" t="s">
        <v>498</v>
      </c>
      <c r="B29" s="336"/>
      <c r="C29" s="336"/>
      <c r="D29" s="336"/>
      <c r="E29" s="337"/>
      <c r="H29" s="35"/>
    </row>
    <row r="51" ht="14.55" customHeight="1" x14ac:dyDescent="0.3"/>
  </sheetData>
  <sheetProtection algorithmName="SHA-512" hashValue="q3iiFDuE7kF+ZgckqgJEH5lPFPhx6DeoacClnDx1hRBj4brbjCKlROtUD0vMY29y+N4jBudiZrpVfBBIObAMVA==" saltValue="xfZuGa3BiQpjCC3iyJ4TRQ==" spinCount="100000" sheet="1" formatCells="0"/>
  <mergeCells count="25">
    <mergeCell ref="B29:E29"/>
    <mergeCell ref="B24:E24"/>
    <mergeCell ref="B25:E25"/>
    <mergeCell ref="B26:E26"/>
    <mergeCell ref="B27:E27"/>
    <mergeCell ref="B28:E28"/>
    <mergeCell ref="A19:E19"/>
    <mergeCell ref="B20:E20"/>
    <mergeCell ref="B21:E21"/>
    <mergeCell ref="B22:E22"/>
    <mergeCell ref="B23:E23"/>
    <mergeCell ref="A4:J4"/>
    <mergeCell ref="A5:J5"/>
    <mergeCell ref="A1:D1"/>
    <mergeCell ref="E1:J1"/>
    <mergeCell ref="A2:D2"/>
    <mergeCell ref="E2:J2"/>
    <mergeCell ref="A3:D3"/>
    <mergeCell ref="E3:J3"/>
    <mergeCell ref="A17:I17"/>
    <mergeCell ref="B7:B10"/>
    <mergeCell ref="C7:C10"/>
    <mergeCell ref="B11:B14"/>
    <mergeCell ref="C11:C14"/>
    <mergeCell ref="C15:C16"/>
  </mergeCells>
  <phoneticPr fontId="22" type="noConversion"/>
  <pageMargins left="0.23622047244094491" right="0.23622047244094491" top="0.74803149606299213" bottom="0.74803149606299213" header="0.31496062992125984" footer="0.31496062992125984"/>
  <pageSetup scale="59" fitToHeight="0" orientation="landscape" r:id="rId1"/>
  <headerFooter>
    <oddHeader xml:space="preserve">&amp;CCity of Winnipeg
497-2025-Form_B-Prices Water Meter Renewal and AMS Project
</oddHeader>
    <oddFooter>&amp;LCity of Winnipeg, MB&amp;C&amp;A | Page &amp;P of &amp;N&amp;RDiameter Services copyright 2025</oddFooter>
  </headerFooter>
  <rowBreaks count="1" manualBreakCount="1">
    <brk id="18" max="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Lookups!$A$2:$A$3</xm:f>
          </x14:formula1>
          <xm:sqref>G7:G16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7" tint="0.79998168889431442"/>
    <pageSetUpPr fitToPage="1"/>
  </sheetPr>
  <dimension ref="A1:O83"/>
  <sheetViews>
    <sheetView zoomScale="80" zoomScaleNormal="80" workbookViewId="0">
      <selection activeCell="C7" sqref="C7:C16"/>
    </sheetView>
  </sheetViews>
  <sheetFormatPr defaultColWidth="9.21875" defaultRowHeight="14.4" x14ac:dyDescent="0.3"/>
  <cols>
    <col min="1" max="1" width="9.21875" style="1"/>
    <col min="2" max="2" width="30.21875" style="1" customWidth="1"/>
    <col min="3" max="3" width="59.21875" style="1" customWidth="1"/>
    <col min="4" max="4" width="26.44140625" style="1" customWidth="1"/>
    <col min="5" max="5" width="13" style="1" customWidth="1"/>
    <col min="6" max="6" width="14.77734375" style="1" hidden="1" customWidth="1"/>
    <col min="7" max="7" width="13" style="1" customWidth="1"/>
    <col min="8" max="12" width="20.77734375" style="1" customWidth="1"/>
    <col min="13" max="13" width="24.77734375" style="1" customWidth="1"/>
    <col min="14" max="16384" width="9.21875" style="1"/>
  </cols>
  <sheetData>
    <row r="1" spans="1:13" ht="21.75" customHeight="1" thickBot="1" x14ac:dyDescent="0.35">
      <c r="A1" s="279" t="s">
        <v>1</v>
      </c>
      <c r="B1" s="280"/>
      <c r="C1" s="280"/>
      <c r="D1" s="281"/>
      <c r="E1" s="270" t="str">
        <f>+'B Price Form Summary'!E1</f>
        <v>City of Winnipeg</v>
      </c>
      <c r="F1" s="271"/>
      <c r="G1" s="271"/>
      <c r="H1" s="271"/>
      <c r="I1" s="271"/>
      <c r="J1" s="271"/>
      <c r="K1" s="271"/>
      <c r="L1" s="271"/>
      <c r="M1" s="271"/>
    </row>
    <row r="2" spans="1:13" ht="21.75" customHeight="1" thickBot="1" x14ac:dyDescent="0.35">
      <c r="A2" s="279" t="s">
        <v>2</v>
      </c>
      <c r="B2" s="280"/>
      <c r="C2" s="280"/>
      <c r="D2" s="281"/>
      <c r="E2" s="270" t="str">
        <f>'B Price Form Summary'!E2</f>
        <v>Name of Proponent</v>
      </c>
      <c r="F2" s="271"/>
      <c r="G2" s="271"/>
      <c r="H2" s="271"/>
      <c r="I2" s="271"/>
      <c r="J2" s="271"/>
      <c r="K2" s="271"/>
      <c r="L2" s="271"/>
      <c r="M2" s="271"/>
    </row>
    <row r="3" spans="1:13" ht="43.5" customHeight="1" thickBot="1" x14ac:dyDescent="0.35">
      <c r="A3" s="279" t="s">
        <v>3</v>
      </c>
      <c r="B3" s="280"/>
      <c r="C3" s="280"/>
      <c r="D3" s="280"/>
      <c r="E3" s="270" t="str">
        <f>+'B Price Form Summary'!E3</f>
        <v>497-2025_RFP - Supply of Advanced Meter Infrastructure and Water Meter Solution</v>
      </c>
      <c r="F3" s="271"/>
      <c r="G3" s="271"/>
      <c r="H3" s="271"/>
      <c r="I3" s="271"/>
      <c r="J3" s="271"/>
      <c r="K3" s="271"/>
      <c r="L3" s="271"/>
      <c r="M3" s="271"/>
    </row>
    <row r="4" spans="1:13" ht="21.6" thickBot="1" x14ac:dyDescent="0.35">
      <c r="A4" s="355" t="str">
        <f>+'B Price Form Summary'!F10</f>
        <v>B4 - Product Supply for Winnipeg Use</v>
      </c>
      <c r="B4" s="356"/>
      <c r="C4" s="356"/>
      <c r="D4" s="356"/>
      <c r="E4" s="356"/>
      <c r="F4" s="356"/>
      <c r="G4" s="356"/>
      <c r="H4" s="356"/>
      <c r="I4" s="356"/>
      <c r="J4" s="356"/>
      <c r="K4" s="356"/>
      <c r="L4" s="356"/>
      <c r="M4" s="356"/>
    </row>
    <row r="5" spans="1:13" ht="51.75" customHeight="1" thickBot="1" x14ac:dyDescent="0.35">
      <c r="A5" s="324" t="s">
        <v>61</v>
      </c>
      <c r="B5" s="325"/>
      <c r="C5" s="325"/>
      <c r="D5" s="325"/>
      <c r="E5" s="325"/>
      <c r="F5" s="325"/>
      <c r="G5" s="325"/>
      <c r="H5" s="325"/>
      <c r="I5" s="325"/>
      <c r="J5" s="325"/>
      <c r="K5" s="325"/>
      <c r="L5" s="325"/>
      <c r="M5" s="326"/>
    </row>
    <row r="6" spans="1:13" ht="29.4" thickBot="1" x14ac:dyDescent="0.35">
      <c r="A6" s="7" t="s">
        <v>46</v>
      </c>
      <c r="B6" s="7" t="s">
        <v>82</v>
      </c>
      <c r="C6" s="7" t="s">
        <v>48</v>
      </c>
      <c r="D6" s="7" t="s">
        <v>49</v>
      </c>
      <c r="E6" s="54" t="s">
        <v>50</v>
      </c>
      <c r="F6" s="54" t="s">
        <v>62</v>
      </c>
      <c r="G6" s="54" t="s">
        <v>83</v>
      </c>
      <c r="H6" s="54">
        <v>2026</v>
      </c>
      <c r="I6" s="54">
        <v>2027</v>
      </c>
      <c r="J6" s="54">
        <v>2028</v>
      </c>
      <c r="K6" s="54">
        <v>2029</v>
      </c>
      <c r="L6" s="54">
        <v>2030</v>
      </c>
      <c r="M6" s="54" t="s">
        <v>226</v>
      </c>
    </row>
    <row r="7" spans="1:13" ht="46.5" customHeight="1" thickBot="1" x14ac:dyDescent="0.35">
      <c r="A7" s="84" t="s">
        <v>162</v>
      </c>
      <c r="B7" s="9" t="s">
        <v>85</v>
      </c>
      <c r="C7" s="353" t="s">
        <v>293</v>
      </c>
      <c r="D7" s="66" t="s">
        <v>281</v>
      </c>
      <c r="E7" s="27" t="s">
        <v>55</v>
      </c>
      <c r="F7" s="27"/>
      <c r="G7" s="29" t="s">
        <v>60</v>
      </c>
      <c r="H7" s="12">
        <v>0</v>
      </c>
      <c r="I7" s="12">
        <v>0</v>
      </c>
      <c r="J7" s="12">
        <v>0</v>
      </c>
      <c r="K7" s="12">
        <v>0</v>
      </c>
      <c r="L7" s="12">
        <v>0</v>
      </c>
      <c r="M7" s="180">
        <f>(H7*'B4A City Use Qty by Year'!F6)+(I7*'B4A City Use Qty by Year'!G6)+(J7*'B4A City Use Qty by Year'!H6)+(K7*'B4A City Use Qty by Year'!I6)+(L7*'B4A City Use Qty by Year'!J6)</f>
        <v>0</v>
      </c>
    </row>
    <row r="8" spans="1:13" ht="45" customHeight="1" thickBot="1" x14ac:dyDescent="0.35">
      <c r="A8" s="84" t="s">
        <v>163</v>
      </c>
      <c r="B8" s="9" t="s">
        <v>85</v>
      </c>
      <c r="C8" s="360"/>
      <c r="D8" s="66" t="s">
        <v>213</v>
      </c>
      <c r="E8" s="27" t="s">
        <v>55</v>
      </c>
      <c r="F8" s="27"/>
      <c r="G8" s="29" t="s">
        <v>60</v>
      </c>
      <c r="H8" s="12">
        <v>0</v>
      </c>
      <c r="I8" s="12">
        <v>0</v>
      </c>
      <c r="J8" s="12">
        <v>0</v>
      </c>
      <c r="K8" s="12">
        <v>0</v>
      </c>
      <c r="L8" s="12">
        <v>0</v>
      </c>
      <c r="M8" s="180">
        <f>(H8*'B4A City Use Qty by Year'!F7)+(I8*'B4A City Use Qty by Year'!G7)+(J8*'B4A City Use Qty by Year'!H7)+(K8*'B4A City Use Qty by Year'!I7)+(L8*'B4A City Use Qty by Year'!J7)</f>
        <v>0</v>
      </c>
    </row>
    <row r="9" spans="1:13" ht="46.5" customHeight="1" thickBot="1" x14ac:dyDescent="0.35">
      <c r="A9" s="84" t="s">
        <v>164</v>
      </c>
      <c r="B9" s="9" t="s">
        <v>85</v>
      </c>
      <c r="C9" s="360"/>
      <c r="D9" s="9" t="s">
        <v>214</v>
      </c>
      <c r="E9" s="27" t="s">
        <v>55</v>
      </c>
      <c r="F9" s="27"/>
      <c r="G9" s="29" t="s">
        <v>60</v>
      </c>
      <c r="H9" s="12">
        <v>0</v>
      </c>
      <c r="I9" s="12">
        <v>0</v>
      </c>
      <c r="J9" s="12">
        <v>0</v>
      </c>
      <c r="K9" s="12">
        <v>0</v>
      </c>
      <c r="L9" s="12">
        <v>0</v>
      </c>
      <c r="M9" s="180">
        <f>(H9*'B4A City Use Qty by Year'!F8)+(I9*'B4A City Use Qty by Year'!G8)+(J9*'B4A City Use Qty by Year'!H8)+(K9*'B4A City Use Qty by Year'!I8)+(L9*'B4A City Use Qty by Year'!J8)</f>
        <v>0</v>
      </c>
    </row>
    <row r="10" spans="1:13" ht="46.5" customHeight="1" thickBot="1" x14ac:dyDescent="0.35">
      <c r="A10" s="84" t="s">
        <v>165</v>
      </c>
      <c r="B10" s="9" t="s">
        <v>85</v>
      </c>
      <c r="C10" s="360"/>
      <c r="D10" s="9" t="s">
        <v>282</v>
      </c>
      <c r="E10" s="27" t="s">
        <v>55</v>
      </c>
      <c r="F10" s="27"/>
      <c r="G10" s="29" t="s">
        <v>60</v>
      </c>
      <c r="H10" s="12">
        <v>0</v>
      </c>
      <c r="I10" s="12">
        <v>0</v>
      </c>
      <c r="J10" s="12">
        <v>0</v>
      </c>
      <c r="K10" s="12">
        <v>0</v>
      </c>
      <c r="L10" s="12">
        <v>0</v>
      </c>
      <c r="M10" s="180">
        <f>(H10*'B4A City Use Qty by Year'!F9)+(I10*'B4A City Use Qty by Year'!G9)+(J10*'B4A City Use Qty by Year'!H9)+(K10*'B4A City Use Qty by Year'!I9)+(L10*'B4A City Use Qty by Year'!J9)</f>
        <v>0</v>
      </c>
    </row>
    <row r="11" spans="1:13" ht="64.5" customHeight="1" thickBot="1" x14ac:dyDescent="0.35">
      <c r="A11" s="84" t="s">
        <v>166</v>
      </c>
      <c r="B11" s="9" t="s">
        <v>85</v>
      </c>
      <c r="C11" s="360"/>
      <c r="D11" s="9" t="s">
        <v>215</v>
      </c>
      <c r="E11" s="27" t="s">
        <v>55</v>
      </c>
      <c r="F11" s="27"/>
      <c r="G11" s="29" t="s">
        <v>60</v>
      </c>
      <c r="H11" s="12">
        <v>0</v>
      </c>
      <c r="I11" s="12">
        <v>0</v>
      </c>
      <c r="J11" s="12">
        <v>0</v>
      </c>
      <c r="K11" s="12">
        <v>0</v>
      </c>
      <c r="L11" s="12">
        <v>0</v>
      </c>
      <c r="M11" s="180">
        <f>(H11*'B4A City Use Qty by Year'!F10)+(I11*'B4A City Use Qty by Year'!G10)+(J11*'B4A City Use Qty by Year'!H10)+(K11*'B4A City Use Qty by Year'!I10)+(L11*'B4A City Use Qty by Year'!J10)</f>
        <v>0</v>
      </c>
    </row>
    <row r="12" spans="1:13" ht="46.5" customHeight="1" thickBot="1" x14ac:dyDescent="0.35">
      <c r="A12" s="84" t="s">
        <v>167</v>
      </c>
      <c r="B12" s="9" t="s">
        <v>85</v>
      </c>
      <c r="C12" s="360"/>
      <c r="D12" s="9" t="s">
        <v>216</v>
      </c>
      <c r="E12" s="27" t="s">
        <v>55</v>
      </c>
      <c r="F12" s="27"/>
      <c r="G12" s="29" t="s">
        <v>60</v>
      </c>
      <c r="H12" s="12">
        <v>0</v>
      </c>
      <c r="I12" s="12">
        <v>0</v>
      </c>
      <c r="J12" s="12">
        <v>0</v>
      </c>
      <c r="K12" s="12">
        <v>0</v>
      </c>
      <c r="L12" s="12">
        <v>0</v>
      </c>
      <c r="M12" s="180">
        <f>(H12*'B4A City Use Qty by Year'!F11)+(I12*'B4A City Use Qty by Year'!G11)+(J12*'B4A City Use Qty by Year'!H11)+(K12*'B4A City Use Qty by Year'!I11)+(L12*'B4A City Use Qty by Year'!J11)</f>
        <v>0</v>
      </c>
    </row>
    <row r="13" spans="1:13" ht="46.5" customHeight="1" thickBot="1" x14ac:dyDescent="0.35">
      <c r="A13" s="84" t="s">
        <v>168</v>
      </c>
      <c r="B13" s="9" t="s">
        <v>85</v>
      </c>
      <c r="C13" s="360"/>
      <c r="D13" s="9" t="s">
        <v>217</v>
      </c>
      <c r="E13" s="27" t="s">
        <v>55</v>
      </c>
      <c r="F13" s="27"/>
      <c r="G13" s="29" t="s">
        <v>60</v>
      </c>
      <c r="H13" s="12">
        <v>0</v>
      </c>
      <c r="I13" s="12">
        <v>0</v>
      </c>
      <c r="J13" s="12">
        <v>0</v>
      </c>
      <c r="K13" s="12">
        <v>0</v>
      </c>
      <c r="L13" s="12">
        <v>0</v>
      </c>
      <c r="M13" s="180">
        <f>(H13*'B4A City Use Qty by Year'!F12)+(I13*'B4A City Use Qty by Year'!G12)+(J13*'B4A City Use Qty by Year'!H12)+(K13*'B4A City Use Qty by Year'!I12)+(L13*'B4A City Use Qty by Year'!J12)</f>
        <v>0</v>
      </c>
    </row>
    <row r="14" spans="1:13" ht="46.5" customHeight="1" thickBot="1" x14ac:dyDescent="0.35">
      <c r="A14" s="84" t="s">
        <v>169</v>
      </c>
      <c r="B14" s="9" t="s">
        <v>85</v>
      </c>
      <c r="C14" s="360"/>
      <c r="D14" s="9" t="s">
        <v>218</v>
      </c>
      <c r="E14" s="27" t="s">
        <v>55</v>
      </c>
      <c r="F14" s="27"/>
      <c r="G14" s="29" t="s">
        <v>60</v>
      </c>
      <c r="H14" s="12">
        <v>0</v>
      </c>
      <c r="I14" s="12">
        <v>0</v>
      </c>
      <c r="J14" s="12">
        <v>0</v>
      </c>
      <c r="K14" s="12">
        <v>0</v>
      </c>
      <c r="L14" s="12">
        <v>0</v>
      </c>
      <c r="M14" s="180">
        <f>(H14*'B4A City Use Qty by Year'!F13)+(I14*'B4A City Use Qty by Year'!G13)+(J14*'B4A City Use Qty by Year'!H13)+(K14*'B4A City Use Qty by Year'!I13)+(L14*'B4A City Use Qty by Year'!J13)</f>
        <v>0</v>
      </c>
    </row>
    <row r="15" spans="1:13" ht="47.25" customHeight="1" thickBot="1" x14ac:dyDescent="0.35">
      <c r="A15" s="84" t="s">
        <v>499</v>
      </c>
      <c r="B15" s="9" t="s">
        <v>85</v>
      </c>
      <c r="C15" s="360"/>
      <c r="D15" s="9" t="s">
        <v>219</v>
      </c>
      <c r="E15" s="27" t="s">
        <v>55</v>
      </c>
      <c r="F15" s="27"/>
      <c r="G15" s="29" t="s">
        <v>60</v>
      </c>
      <c r="H15" s="12">
        <v>0</v>
      </c>
      <c r="I15" s="12">
        <v>0</v>
      </c>
      <c r="J15" s="12">
        <v>0</v>
      </c>
      <c r="K15" s="12">
        <v>0</v>
      </c>
      <c r="L15" s="12">
        <v>0</v>
      </c>
      <c r="M15" s="180">
        <f>(H15*'B4A City Use Qty by Year'!F14)+(I15*'B4A City Use Qty by Year'!G14)+(J15*'B4A City Use Qty by Year'!H14)+(K15*'B4A City Use Qty by Year'!I14)+(L15*'B4A City Use Qty by Year'!J14)</f>
        <v>0</v>
      </c>
    </row>
    <row r="16" spans="1:13" ht="47.25" customHeight="1" thickBot="1" x14ac:dyDescent="0.35">
      <c r="A16" s="84" t="s">
        <v>500</v>
      </c>
      <c r="B16" s="9" t="s">
        <v>85</v>
      </c>
      <c r="C16" s="354"/>
      <c r="D16" s="9" t="s">
        <v>283</v>
      </c>
      <c r="E16" s="27" t="s">
        <v>55</v>
      </c>
      <c r="F16" s="27"/>
      <c r="G16" s="29" t="s">
        <v>60</v>
      </c>
      <c r="H16" s="12">
        <v>0</v>
      </c>
      <c r="I16" s="12">
        <v>0</v>
      </c>
      <c r="J16" s="12">
        <v>0</v>
      </c>
      <c r="K16" s="12">
        <v>0</v>
      </c>
      <c r="L16" s="12">
        <v>0</v>
      </c>
      <c r="M16" s="180">
        <f>(H16*'B4A City Use Qty by Year'!F15)+(I16*'B4A City Use Qty by Year'!G15)+(J16*'B4A City Use Qty by Year'!H15)+(K16*'B4A City Use Qty by Year'!I15)+(L16*'B4A City Use Qty by Year'!J15)</f>
        <v>0</v>
      </c>
    </row>
    <row r="17" spans="1:15" ht="47.25" customHeight="1" thickBot="1" x14ac:dyDescent="0.35">
      <c r="A17" s="84" t="s">
        <v>501</v>
      </c>
      <c r="B17" s="9" t="s">
        <v>85</v>
      </c>
      <c r="C17" s="375" t="s">
        <v>292</v>
      </c>
      <c r="D17" s="9" t="s">
        <v>216</v>
      </c>
      <c r="E17" s="27" t="s">
        <v>55</v>
      </c>
      <c r="F17" s="88" t="s">
        <v>60</v>
      </c>
      <c r="G17" s="29" t="s">
        <v>60</v>
      </c>
      <c r="H17" s="12">
        <v>0</v>
      </c>
      <c r="I17" s="12">
        <v>0</v>
      </c>
      <c r="J17" s="12">
        <v>0</v>
      </c>
      <c r="K17" s="12">
        <v>0</v>
      </c>
      <c r="L17" s="12">
        <v>0</v>
      </c>
      <c r="M17" s="180">
        <f>(H17*'B4A City Use Qty by Year'!F16)+(I17*'B4A City Use Qty by Year'!G16)+(J17*'B4A City Use Qty by Year'!H16)+(K17*'B4A City Use Qty by Year'!I16)+(L17*'B4A City Use Qty by Year'!J16)</f>
        <v>0</v>
      </c>
    </row>
    <row r="18" spans="1:15" ht="47.25" customHeight="1" thickBot="1" x14ac:dyDescent="0.35">
      <c r="A18" s="84" t="s">
        <v>502</v>
      </c>
      <c r="B18" s="9" t="s">
        <v>85</v>
      </c>
      <c r="C18" s="376"/>
      <c r="D18" s="9" t="s">
        <v>217</v>
      </c>
      <c r="E18" s="27" t="s">
        <v>55</v>
      </c>
      <c r="F18" s="88" t="s">
        <v>60</v>
      </c>
      <c r="G18" s="29" t="s">
        <v>60</v>
      </c>
      <c r="H18" s="12">
        <v>0</v>
      </c>
      <c r="I18" s="12">
        <v>0</v>
      </c>
      <c r="J18" s="12">
        <v>0</v>
      </c>
      <c r="K18" s="12">
        <v>0</v>
      </c>
      <c r="L18" s="12">
        <v>0</v>
      </c>
      <c r="M18" s="180">
        <f>(H18*'B4A City Use Qty by Year'!F17)+(I18*'B4A City Use Qty by Year'!G17)+(J18*'B4A City Use Qty by Year'!H17)+(K18*'B4A City Use Qty by Year'!I17)+(L18*'B4A City Use Qty by Year'!J17)</f>
        <v>0</v>
      </c>
    </row>
    <row r="19" spans="1:15" ht="47.25" customHeight="1" thickBot="1" x14ac:dyDescent="0.35">
      <c r="A19" s="84" t="s">
        <v>170</v>
      </c>
      <c r="B19" s="9" t="s">
        <v>85</v>
      </c>
      <c r="C19" s="376"/>
      <c r="D19" s="9" t="s">
        <v>218</v>
      </c>
      <c r="E19" s="27" t="s">
        <v>55</v>
      </c>
      <c r="F19" s="88" t="s">
        <v>60</v>
      </c>
      <c r="G19" s="29" t="s">
        <v>60</v>
      </c>
      <c r="H19" s="12">
        <v>0</v>
      </c>
      <c r="I19" s="12">
        <v>0</v>
      </c>
      <c r="J19" s="12">
        <v>0</v>
      </c>
      <c r="K19" s="12">
        <v>0</v>
      </c>
      <c r="L19" s="12">
        <v>0</v>
      </c>
      <c r="M19" s="180">
        <f>(H19*'B4A City Use Qty by Year'!F18)+(I19*'B4A City Use Qty by Year'!G18)+(J19*'B4A City Use Qty by Year'!H18)+(K19*'B4A City Use Qty by Year'!I18)+(L19*'B4A City Use Qty by Year'!J18)</f>
        <v>0</v>
      </c>
    </row>
    <row r="20" spans="1:15" ht="47.25" customHeight="1" thickBot="1" x14ac:dyDescent="0.35">
      <c r="A20" s="84" t="s">
        <v>171</v>
      </c>
      <c r="B20" s="9" t="s">
        <v>85</v>
      </c>
      <c r="C20" s="376"/>
      <c r="D20" s="9" t="s">
        <v>219</v>
      </c>
      <c r="E20" s="27" t="s">
        <v>55</v>
      </c>
      <c r="F20" s="88" t="s">
        <v>60</v>
      </c>
      <c r="G20" s="29" t="s">
        <v>60</v>
      </c>
      <c r="H20" s="12">
        <v>0</v>
      </c>
      <c r="I20" s="12">
        <v>0</v>
      </c>
      <c r="J20" s="12">
        <v>0</v>
      </c>
      <c r="K20" s="12">
        <v>0</v>
      </c>
      <c r="L20" s="12">
        <v>0</v>
      </c>
      <c r="M20" s="180">
        <f>(H20*'B4A City Use Qty by Year'!F19)+(I20*'B4A City Use Qty by Year'!G19)+(J20*'B4A City Use Qty by Year'!H19)+(K20*'B4A City Use Qty by Year'!I19)+(L20*'B4A City Use Qty by Year'!J19)</f>
        <v>0</v>
      </c>
    </row>
    <row r="21" spans="1:15" ht="47.25" customHeight="1" thickBot="1" x14ac:dyDescent="0.35">
      <c r="A21" s="84" t="s">
        <v>172</v>
      </c>
      <c r="B21" s="9" t="s">
        <v>85</v>
      </c>
      <c r="C21" s="377"/>
      <c r="D21" s="9" t="s">
        <v>283</v>
      </c>
      <c r="E21" s="27" t="s">
        <v>55</v>
      </c>
      <c r="F21" s="88" t="s">
        <v>60</v>
      </c>
      <c r="G21" s="29" t="s">
        <v>60</v>
      </c>
      <c r="H21" s="12">
        <v>0</v>
      </c>
      <c r="I21" s="12">
        <v>0</v>
      </c>
      <c r="J21" s="12">
        <v>0</v>
      </c>
      <c r="K21" s="12">
        <v>0</v>
      </c>
      <c r="L21" s="12">
        <v>0</v>
      </c>
      <c r="M21" s="180">
        <f>(H21*'B4A City Use Qty by Year'!F20)+(I21*'B4A City Use Qty by Year'!G20)+(J21*'B4A City Use Qty by Year'!H20)+(K21*'B4A City Use Qty by Year'!I20)+(L21*'B4A City Use Qty by Year'!J20)</f>
        <v>0</v>
      </c>
    </row>
    <row r="22" spans="1:15" ht="78" customHeight="1" thickBot="1" x14ac:dyDescent="0.35">
      <c r="A22" s="84" t="s">
        <v>173</v>
      </c>
      <c r="B22" s="9" t="s">
        <v>85</v>
      </c>
      <c r="C22" s="212" t="s">
        <v>513</v>
      </c>
      <c r="D22" s="9" t="s">
        <v>63</v>
      </c>
      <c r="E22" s="27" t="s">
        <v>55</v>
      </c>
      <c r="F22" s="9"/>
      <c r="G22" s="29" t="s">
        <v>60</v>
      </c>
      <c r="H22" s="12">
        <v>0</v>
      </c>
      <c r="I22" s="12">
        <v>0</v>
      </c>
      <c r="J22" s="12">
        <v>0</v>
      </c>
      <c r="K22" s="12">
        <v>0</v>
      </c>
      <c r="L22" s="12">
        <v>0</v>
      </c>
      <c r="M22" s="180">
        <f>(H22*'B4A City Use Qty by Year'!F21)+(I22*'B4A City Use Qty by Year'!G21)+(J22*'B4A City Use Qty by Year'!H21)+(K22*'B4A City Use Qty by Year'!I21)+(L22*'B4A City Use Qty by Year'!J21)</f>
        <v>0</v>
      </c>
    </row>
    <row r="23" spans="1:15" ht="77.25" customHeight="1" thickBot="1" x14ac:dyDescent="0.35">
      <c r="A23" s="84" t="s">
        <v>174</v>
      </c>
      <c r="B23" s="9" t="s">
        <v>85</v>
      </c>
      <c r="C23" s="109" t="s">
        <v>86</v>
      </c>
      <c r="D23" s="9" t="s">
        <v>64</v>
      </c>
      <c r="E23" s="27" t="s">
        <v>55</v>
      </c>
      <c r="F23" s="9"/>
      <c r="G23" s="29" t="s">
        <v>60</v>
      </c>
      <c r="H23" s="12">
        <v>0</v>
      </c>
      <c r="I23" s="12">
        <v>0</v>
      </c>
      <c r="J23" s="12">
        <v>0</v>
      </c>
      <c r="K23" s="12">
        <v>0</v>
      </c>
      <c r="L23" s="12">
        <v>0</v>
      </c>
      <c r="M23" s="180">
        <f>(H23*'B4A City Use Qty by Year'!F22)+(I23*'B4A City Use Qty by Year'!G22)+(J23*'B4A City Use Qty by Year'!H22)+(K23*'B4A City Use Qty by Year'!I22)+(L23*'B4A City Use Qty by Year'!J22)</f>
        <v>0</v>
      </c>
    </row>
    <row r="24" spans="1:15" ht="108.75" customHeight="1" thickBot="1" x14ac:dyDescent="0.35">
      <c r="A24" s="84" t="s">
        <v>175</v>
      </c>
      <c r="B24" s="9" t="s">
        <v>85</v>
      </c>
      <c r="C24" s="75" t="s">
        <v>88</v>
      </c>
      <c r="D24" s="9" t="s">
        <v>87</v>
      </c>
      <c r="E24" s="27" t="s">
        <v>55</v>
      </c>
      <c r="F24" s="9"/>
      <c r="G24" s="29" t="s">
        <v>60</v>
      </c>
      <c r="H24" s="12">
        <v>0</v>
      </c>
      <c r="I24" s="12">
        <v>0</v>
      </c>
      <c r="J24" s="12">
        <v>0</v>
      </c>
      <c r="K24" s="12">
        <v>0</v>
      </c>
      <c r="L24" s="12">
        <v>0</v>
      </c>
      <c r="M24" s="180">
        <f>(H24*'B4A City Use Qty by Year'!F23)+(I24*'B4A City Use Qty by Year'!G23)+(J24*'B4A City Use Qty by Year'!H23)+(K24*'B4A City Use Qty by Year'!I23)+(L24*'B4A City Use Qty by Year'!J23)</f>
        <v>0</v>
      </c>
    </row>
    <row r="25" spans="1:15" ht="21.75" customHeight="1" thickBot="1" x14ac:dyDescent="0.45">
      <c r="A25" s="214" t="str">
        <f>+"Total - "&amp;A4 &amp;"(CDN$)"</f>
        <v>Total - B4 - Product Supply for Winnipeg Use(CDN$)</v>
      </c>
      <c r="B25" s="215"/>
      <c r="C25" s="215"/>
      <c r="D25" s="215"/>
      <c r="E25" s="215"/>
      <c r="F25" s="216"/>
      <c r="G25" s="215"/>
      <c r="H25" s="235"/>
      <c r="I25" s="235"/>
      <c r="J25" s="235"/>
      <c r="K25" s="235"/>
      <c r="L25" s="235"/>
      <c r="M25" s="5">
        <f t="shared" ref="M25" si="0">+SUM(M7:M24)</f>
        <v>0</v>
      </c>
    </row>
    <row r="26" spans="1:15" ht="21.75" customHeight="1" x14ac:dyDescent="0.45">
      <c r="J26" s="41" t="str">
        <f>+"Transfer the total for "&amp; $A$4&amp;" to B Price Form Summary"</f>
        <v>Transfer the total for B4 - Product Supply for Winnipeg Use to B Price Form Summary</v>
      </c>
    </row>
    <row r="27" spans="1:15" ht="21.75" customHeight="1" thickBot="1" x14ac:dyDescent="0.35">
      <c r="A27" s="68"/>
      <c r="B27" s="68"/>
      <c r="C27" s="69"/>
      <c r="D27" s="68"/>
      <c r="E27" s="70"/>
      <c r="F27" s="70"/>
      <c r="G27" s="71"/>
      <c r="H27" s="72"/>
      <c r="I27" s="76"/>
      <c r="J27" s="73"/>
      <c r="O27" s="213"/>
    </row>
    <row r="28" spans="1:15" ht="21.75" customHeight="1" thickBot="1" x14ac:dyDescent="0.35">
      <c r="A28" s="316" t="s">
        <v>56</v>
      </c>
      <c r="B28" s="317"/>
      <c r="C28" s="317"/>
      <c r="D28" s="317"/>
      <c r="E28" s="327"/>
      <c r="F28" s="64"/>
      <c r="G28" s="64"/>
      <c r="H28" s="64"/>
      <c r="I28" s="64"/>
      <c r="J28" s="64"/>
    </row>
    <row r="29" spans="1:15" ht="45" customHeight="1" thickBot="1" x14ac:dyDescent="0.35">
      <c r="A29" s="98" t="s">
        <v>176</v>
      </c>
      <c r="B29" s="378"/>
      <c r="C29" s="379"/>
      <c r="D29" s="379"/>
      <c r="E29" s="380"/>
      <c r="H29" s="35"/>
    </row>
    <row r="30" spans="1:15" ht="45" customHeight="1" thickBot="1" x14ac:dyDescent="0.35">
      <c r="A30" s="98" t="s">
        <v>177</v>
      </c>
      <c r="B30" s="335"/>
      <c r="C30" s="336"/>
      <c r="D30" s="336"/>
      <c r="E30" s="371"/>
      <c r="H30" s="35"/>
    </row>
    <row r="31" spans="1:15" ht="45" customHeight="1" thickBot="1" x14ac:dyDescent="0.35">
      <c r="A31" s="98" t="s">
        <v>178</v>
      </c>
      <c r="B31" s="335"/>
      <c r="C31" s="336"/>
      <c r="D31" s="336"/>
      <c r="E31" s="371"/>
      <c r="H31" s="35"/>
    </row>
    <row r="32" spans="1:15" ht="45" customHeight="1" thickBot="1" x14ac:dyDescent="0.35">
      <c r="A32" s="98" t="s">
        <v>179</v>
      </c>
      <c r="B32" s="335"/>
      <c r="C32" s="336"/>
      <c r="D32" s="336"/>
      <c r="E32" s="371"/>
      <c r="H32" s="35"/>
    </row>
    <row r="33" spans="1:8" ht="45" customHeight="1" thickBot="1" x14ac:dyDescent="0.35">
      <c r="A33" s="98" t="s">
        <v>180</v>
      </c>
      <c r="B33" s="335"/>
      <c r="C33" s="336"/>
      <c r="D33" s="336"/>
      <c r="E33" s="371"/>
      <c r="H33" s="35"/>
    </row>
    <row r="34" spans="1:8" ht="45" customHeight="1" thickBot="1" x14ac:dyDescent="0.35">
      <c r="A34" s="98" t="s">
        <v>181</v>
      </c>
      <c r="B34" s="335"/>
      <c r="C34" s="336"/>
      <c r="D34" s="336"/>
      <c r="E34" s="371"/>
      <c r="H34" s="35"/>
    </row>
    <row r="35" spans="1:8" ht="45" customHeight="1" thickBot="1" x14ac:dyDescent="0.35">
      <c r="A35" s="98" t="s">
        <v>503</v>
      </c>
      <c r="B35" s="335"/>
      <c r="C35" s="336"/>
      <c r="D35" s="336"/>
      <c r="E35" s="371"/>
      <c r="H35" s="35"/>
    </row>
    <row r="36" spans="1:8" ht="45" customHeight="1" thickBot="1" x14ac:dyDescent="0.35">
      <c r="A36" s="98" t="s">
        <v>504</v>
      </c>
      <c r="B36" s="335"/>
      <c r="C36" s="336"/>
      <c r="D36" s="336"/>
      <c r="E36" s="371"/>
      <c r="H36" s="35"/>
    </row>
    <row r="37" spans="1:8" ht="45" customHeight="1" thickBot="1" x14ac:dyDescent="0.35">
      <c r="A37" s="98" t="s">
        <v>505</v>
      </c>
      <c r="B37" s="335"/>
      <c r="C37" s="336"/>
      <c r="D37" s="336"/>
      <c r="E37" s="371"/>
      <c r="H37" s="35"/>
    </row>
    <row r="38" spans="1:8" ht="45" customHeight="1" thickBot="1" x14ac:dyDescent="0.35">
      <c r="A38" s="98" t="s">
        <v>506</v>
      </c>
      <c r="B38" s="372"/>
      <c r="C38" s="373"/>
      <c r="D38" s="373"/>
      <c r="E38" s="374"/>
      <c r="H38" s="35"/>
    </row>
    <row r="63" ht="14.55" customHeight="1" x14ac:dyDescent="0.3"/>
    <row r="83" spans="7:7" x14ac:dyDescent="0.3">
      <c r="G83" s="1" t="s">
        <v>89</v>
      </c>
    </row>
  </sheetData>
  <sheetProtection algorithmName="SHA-512" hashValue="mg/Phz4WXximEh4s3KKtIMHA6AWPtqNt7kCndx79c+r/rBdowiv6iXAZ4TlnEg0AuH3su3cPcvksWI01yXVVyQ==" saltValue="WfF1uIymQc4XWrWVEK/oJg==" spinCount="100000" sheet="1" formatCells="0"/>
  <mergeCells count="21">
    <mergeCell ref="A5:M5"/>
    <mergeCell ref="A4:M4"/>
    <mergeCell ref="C17:C21"/>
    <mergeCell ref="A28:E28"/>
    <mergeCell ref="B36:E36"/>
    <mergeCell ref="B29:E29"/>
    <mergeCell ref="C7:C16"/>
    <mergeCell ref="B37:E37"/>
    <mergeCell ref="B38:E38"/>
    <mergeCell ref="B30:E30"/>
    <mergeCell ref="B31:E31"/>
    <mergeCell ref="B32:E32"/>
    <mergeCell ref="B33:E33"/>
    <mergeCell ref="B34:E34"/>
    <mergeCell ref="B35:E35"/>
    <mergeCell ref="E3:M3"/>
    <mergeCell ref="E2:M2"/>
    <mergeCell ref="E1:M1"/>
    <mergeCell ref="A1:D1"/>
    <mergeCell ref="A2:D2"/>
    <mergeCell ref="A3:D3"/>
  </mergeCells>
  <phoneticPr fontId="22" type="noConversion"/>
  <pageMargins left="0.23622047244094491" right="0.23622047244094491" top="0.74803149606299213" bottom="0.74803149606299213" header="0.31496062992125984" footer="0.31496062992125984"/>
  <pageSetup scale="62" fitToHeight="0" orientation="landscape" r:id="rId1"/>
  <headerFooter>
    <oddHeader>&amp;CCity of Winnipeg
497-2025-Form_B-Prices Water Meter Renewal and AMS Project</oddHeader>
    <oddFooter>&amp;LCity of Winnipeg, MB&amp;C&amp;A | Page &amp;P of &amp;N&amp;RDiameter Services copyright 2025</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46FBAC81-DA77-4EA9-BCDD-E7D2D37324B0}">
          <x14:formula1>
            <xm:f>Lookups!$A$2:$A$3</xm:f>
          </x14:formula1>
          <xm:sqref>G7:G24 F17:F21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268E055D93D4A4088DAA61C6E1F52FD" ma:contentTypeVersion="12" ma:contentTypeDescription="Create a new document." ma:contentTypeScope="" ma:versionID="044ad1b12324d2428b5a92040506127f">
  <xsd:schema xmlns:xsd="http://www.w3.org/2001/XMLSchema" xmlns:xs="http://www.w3.org/2001/XMLSchema" xmlns:p="http://schemas.microsoft.com/office/2006/metadata/properties" xmlns:ns2="ad7321fd-67af-4df5-a097-d9d1f3c66ab4" targetNamespace="http://schemas.microsoft.com/office/2006/metadata/properties" ma:root="true" ma:fieldsID="5bf50faeb89835575620fe772ee41d08" ns2:_="">
    <xsd:import namespace="ad7321fd-67af-4df5-a097-d9d1f3c66ab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7321fd-67af-4df5-a097-d9d1f3c66a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62702D-180A-4270-B1AC-1D3D43475199}">
  <ds:schemaRefs>
    <ds:schemaRef ds:uri="http://schemas.microsoft.com/sharepoint/v3/contenttype/forms"/>
  </ds:schemaRefs>
</ds:datastoreItem>
</file>

<file path=customXml/itemProps2.xml><?xml version="1.0" encoding="utf-8"?>
<ds:datastoreItem xmlns:ds="http://schemas.openxmlformats.org/officeDocument/2006/customXml" ds:itemID="{95ABC572-DEB2-49BE-9CFE-28B0BF276913}">
  <ds:schemaRefs>
    <ds:schemaRef ds:uri="http://schemas.microsoft.com/office/2006/metadata/properties"/>
    <ds:schemaRef ds:uri="http://purl.org/dc/terms/"/>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ad7321fd-67af-4df5-a097-d9d1f3c66ab4"/>
    <ds:schemaRef ds:uri="http://www.w3.org/XML/1998/namespace"/>
    <ds:schemaRef ds:uri="http://purl.org/dc/elements/1.1/"/>
  </ds:schemaRefs>
</ds:datastoreItem>
</file>

<file path=customXml/itemProps3.xml><?xml version="1.0" encoding="utf-8"?>
<ds:datastoreItem xmlns:ds="http://schemas.openxmlformats.org/officeDocument/2006/customXml" ds:itemID="{D37EE564-E7CE-447D-A1E0-15812110F4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7321fd-67af-4df5-a097-d9d1f3c66a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20</vt:i4>
      </vt:variant>
    </vt:vector>
  </HeadingPairs>
  <TitlesOfParts>
    <vt:vector size="38" baseType="lpstr">
      <vt:lpstr>Instructions</vt:lpstr>
      <vt:lpstr>B Price Form Summary</vt:lpstr>
      <vt:lpstr>B Meter and Radio Assumptions</vt:lpstr>
      <vt:lpstr>B1 Water Meter Supply</vt:lpstr>
      <vt:lpstr>B1A - Mtr Qty by Year</vt:lpstr>
      <vt:lpstr>B2 AMI Network &amp; Radio</vt:lpstr>
      <vt:lpstr>B2A Radio Qty by Year</vt:lpstr>
      <vt:lpstr>B3 Software Impl &amp; Training</vt:lpstr>
      <vt:lpstr>B4 Product Supply for City Use </vt:lpstr>
      <vt:lpstr>B4A City Use Qty by Year</vt:lpstr>
      <vt:lpstr>B5 Year 1 SaaS&amp;AMI Network Srv</vt:lpstr>
      <vt:lpstr>B5A Radio Qty Per Year</vt:lpstr>
      <vt:lpstr>B6 Life Cycle Cost</vt:lpstr>
      <vt:lpstr>B6A Radio Qty Per Year</vt:lpstr>
      <vt:lpstr>B7 Optional</vt:lpstr>
      <vt:lpstr>Sheet3</vt:lpstr>
      <vt:lpstr>Sheet1</vt:lpstr>
      <vt:lpstr>Lookups</vt:lpstr>
      <vt:lpstr>'B1 Water Meter Supply'!_Toc500164511</vt:lpstr>
      <vt:lpstr>'B2 AMI Network &amp; Radio'!_Toc500164511</vt:lpstr>
      <vt:lpstr>'B3 Software Impl &amp; Training'!_Toc500164511</vt:lpstr>
      <vt:lpstr>'B4 Product Supply for City Use '!_Toc500164511</vt:lpstr>
      <vt:lpstr>'B Price Form Summary'!Print_Area</vt:lpstr>
      <vt:lpstr>'B1 Water Meter Supply'!Print_Area</vt:lpstr>
      <vt:lpstr>'B2 AMI Network &amp; Radio'!Print_Area</vt:lpstr>
      <vt:lpstr>'B3 Software Impl &amp; Training'!Print_Area</vt:lpstr>
      <vt:lpstr>'B4 Product Supply for City Use '!Print_Area</vt:lpstr>
      <vt:lpstr>'B5 Year 1 SaaS&amp;AMI Network Srv'!Print_Area</vt:lpstr>
      <vt:lpstr>'B6 Life Cycle Cost'!Print_Area</vt:lpstr>
      <vt:lpstr>Instructions!Print_Area</vt:lpstr>
      <vt:lpstr>'B Price Form Summary'!Print_Titles</vt:lpstr>
      <vt:lpstr>'B1 Water Meter Supply'!Print_Titles</vt:lpstr>
      <vt:lpstr>'B2 AMI Network &amp; Radio'!Print_Titles</vt:lpstr>
      <vt:lpstr>'B3 Software Impl &amp; Training'!Print_Titles</vt:lpstr>
      <vt:lpstr>'B4 Product Supply for City Use '!Print_Titles</vt:lpstr>
      <vt:lpstr>'B5 Year 1 SaaS&amp;AMI Network Srv'!Print_Titles</vt:lpstr>
      <vt:lpstr>'B6 Life Cycle Cost'!Print_Titles</vt:lpstr>
      <vt:lpstr>'B7 Optional'!Print_Titles</vt:lpstr>
    </vt:vector>
  </TitlesOfParts>
  <Manager/>
  <Company>Diameter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Brayden</dc:creator>
  <cp:keywords/>
  <dc:description/>
  <cp:lastModifiedBy>Crocker, Kaylyn</cp:lastModifiedBy>
  <cp:revision/>
  <cp:lastPrinted>2025-06-16T20:54:06Z</cp:lastPrinted>
  <dcterms:created xsi:type="dcterms:W3CDTF">2017-08-04T14:18:49Z</dcterms:created>
  <dcterms:modified xsi:type="dcterms:W3CDTF">2025-08-27T14:02:48Z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0x0101006268E055D93D4A4088DAA61C6E1F52FD</vt:lpwstr>
  </property>
  <property fmtid="{D5CDD505-2E9C-101B-9397-08002B2CF9AE}" pid="3" name="MediaServiceImageTags">
    <vt:lpwstr/>
  </property>
</Properties>
</file>